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3"/>
  </bookViews>
  <sheets>
    <sheet name="Inspector" sheetId="2" r:id="rId1"/>
    <sheet name="Sign Location" sheetId="3" r:id="rId2"/>
    <sheet name="Sign Details" sheetId="4" r:id="rId3"/>
    <sheet name="Defects" sheetId="6" r:id="rId4"/>
  </sheets>
  <definedNames>
    <definedName name="_xlnm._FilterDatabase" localSheetId="3" hidden="1">Defects!$A$1:$T$1</definedName>
    <definedName name="_xlnm._FilterDatabase" localSheetId="0" hidden="1">Inspector!$A$1:$C$1</definedName>
    <definedName name="_xlnm._FilterDatabase" localSheetId="2" hidden="1">'Sign Details'!$A$1:$U$1</definedName>
    <definedName name="_xlnm._FilterDatabase" localSheetId="1" hidden="1">'Sign Location'!$A$1:$L$1</definedName>
  </definedNames>
  <calcPr calcId="145621"/>
</workbook>
</file>

<file path=xl/calcChain.xml><?xml version="1.0" encoding="utf-8"?>
<calcChain xmlns="http://schemas.openxmlformats.org/spreadsheetml/2006/main">
  <c r="J154" i="6" l="1"/>
  <c r="I154" i="6"/>
  <c r="J153" i="6"/>
  <c r="I153" i="6"/>
  <c r="J152" i="6"/>
  <c r="I152" i="6"/>
  <c r="J151" i="6"/>
  <c r="I151" i="6"/>
  <c r="J150" i="6"/>
  <c r="I150" i="6"/>
  <c r="J149" i="6"/>
  <c r="I149" i="6"/>
  <c r="J148" i="6"/>
  <c r="I148" i="6"/>
  <c r="J147" i="6"/>
  <c r="I147" i="6"/>
  <c r="J146" i="6"/>
  <c r="I146" i="6"/>
  <c r="J145" i="6"/>
  <c r="I145" i="6"/>
  <c r="J144" i="6"/>
  <c r="I144" i="6"/>
  <c r="J143" i="6"/>
  <c r="I143" i="6"/>
  <c r="J142" i="6"/>
  <c r="I142" i="6"/>
  <c r="J141" i="6"/>
  <c r="I141" i="6"/>
  <c r="J140" i="6"/>
  <c r="I140" i="6"/>
  <c r="J139" i="6"/>
  <c r="I139" i="6"/>
  <c r="J138" i="6"/>
  <c r="I138" i="6"/>
  <c r="J137" i="6"/>
  <c r="I137" i="6"/>
  <c r="J135" i="6"/>
  <c r="I135" i="6"/>
  <c r="J134" i="6"/>
  <c r="I134" i="6"/>
  <c r="J133" i="6"/>
  <c r="I133" i="6"/>
  <c r="J132" i="6"/>
  <c r="I132" i="6"/>
  <c r="J131" i="6"/>
  <c r="I131" i="6"/>
  <c r="J130" i="6"/>
  <c r="I130" i="6"/>
  <c r="J129" i="6"/>
  <c r="I129" i="6"/>
  <c r="J128" i="6"/>
  <c r="I128" i="6"/>
  <c r="J127" i="6"/>
  <c r="I127" i="6"/>
  <c r="J126" i="6"/>
  <c r="I126" i="6"/>
  <c r="J125" i="6"/>
  <c r="I125" i="6"/>
  <c r="J124" i="6"/>
  <c r="I124" i="6"/>
  <c r="J123" i="6"/>
  <c r="I123" i="6"/>
  <c r="J122" i="6"/>
  <c r="I122" i="6"/>
  <c r="J121" i="6"/>
  <c r="I121" i="6"/>
  <c r="J120" i="6"/>
  <c r="I120" i="6"/>
  <c r="J119" i="6"/>
  <c r="I119" i="6"/>
  <c r="J118" i="6"/>
  <c r="I118" i="6"/>
  <c r="J117" i="6"/>
  <c r="I117" i="6"/>
  <c r="J116" i="6"/>
  <c r="I116" i="6"/>
  <c r="J115" i="6"/>
  <c r="I115" i="6"/>
  <c r="J114" i="6"/>
  <c r="I114" i="6"/>
  <c r="J113" i="6"/>
  <c r="I113" i="6"/>
  <c r="J112" i="6"/>
  <c r="I112" i="6"/>
  <c r="J111" i="6"/>
  <c r="I111" i="6"/>
  <c r="J110" i="6"/>
  <c r="I110" i="6"/>
  <c r="J109" i="6"/>
  <c r="I109" i="6"/>
  <c r="J108" i="6"/>
  <c r="I108" i="6"/>
  <c r="J107" i="6"/>
  <c r="I107" i="6"/>
  <c r="J106" i="6"/>
  <c r="I106" i="6"/>
  <c r="J105" i="6"/>
  <c r="I105" i="6"/>
  <c r="J104" i="6"/>
  <c r="I104" i="6"/>
  <c r="J103" i="6"/>
  <c r="I103" i="6"/>
  <c r="J102" i="6"/>
  <c r="I102" i="6"/>
  <c r="J101" i="6"/>
  <c r="I101" i="6"/>
  <c r="J100" i="6"/>
  <c r="I100" i="6"/>
  <c r="J99" i="6"/>
  <c r="I99" i="6"/>
  <c r="J98" i="6"/>
  <c r="I98" i="6"/>
  <c r="J97" i="6"/>
  <c r="I97" i="6"/>
  <c r="J96" i="6"/>
  <c r="I96" i="6"/>
  <c r="J95" i="6"/>
  <c r="I95" i="6"/>
  <c r="J94" i="6"/>
  <c r="I94" i="6"/>
  <c r="J93" i="6"/>
  <c r="I93" i="6"/>
  <c r="J92" i="6"/>
  <c r="I92" i="6"/>
  <c r="J91" i="6"/>
  <c r="I91" i="6"/>
  <c r="J90" i="6"/>
  <c r="I90" i="6"/>
  <c r="J89" i="6"/>
  <c r="I89" i="6"/>
  <c r="J88" i="6"/>
  <c r="I88" i="6"/>
  <c r="J87" i="6"/>
  <c r="I87" i="6"/>
  <c r="J86" i="6"/>
  <c r="I86" i="6"/>
  <c r="J85" i="6"/>
  <c r="I85" i="6"/>
  <c r="J84" i="6"/>
  <c r="I84" i="6"/>
  <c r="J83" i="6"/>
  <c r="I83" i="6"/>
  <c r="J82" i="6"/>
  <c r="I82" i="6"/>
  <c r="J81" i="6"/>
  <c r="I81" i="6"/>
  <c r="J80" i="6"/>
  <c r="I80" i="6"/>
  <c r="J79" i="6"/>
  <c r="I79" i="6"/>
  <c r="J78" i="6"/>
  <c r="I78" i="6"/>
  <c r="J77" i="6"/>
  <c r="I77" i="6"/>
  <c r="J76" i="6"/>
  <c r="I76" i="6"/>
  <c r="J75" i="6"/>
  <c r="I75" i="6"/>
  <c r="J74" i="6"/>
  <c r="I74" i="6"/>
  <c r="J73" i="6"/>
  <c r="I73" i="6"/>
  <c r="J72" i="6"/>
  <c r="I72" i="6"/>
  <c r="J71" i="6"/>
  <c r="I71" i="6"/>
  <c r="J70" i="6"/>
  <c r="I70" i="6"/>
  <c r="J69" i="6"/>
  <c r="I69" i="6"/>
  <c r="J68" i="6"/>
  <c r="I68" i="6"/>
  <c r="J67" i="6"/>
  <c r="I67" i="6"/>
  <c r="J66" i="6"/>
  <c r="I66" i="6"/>
  <c r="J65" i="6"/>
  <c r="I65" i="6"/>
  <c r="J64" i="6"/>
  <c r="I64" i="6"/>
  <c r="J63" i="6"/>
  <c r="I63" i="6"/>
  <c r="J62" i="6"/>
  <c r="I62" i="6"/>
  <c r="J61" i="6"/>
  <c r="I61" i="6"/>
  <c r="J60" i="6"/>
  <c r="I60" i="6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J49" i="6"/>
  <c r="I49" i="6"/>
  <c r="J48" i="6"/>
  <c r="I48" i="6"/>
  <c r="J47" i="6"/>
  <c r="I47" i="6"/>
  <c r="J46" i="6"/>
  <c r="I46" i="6"/>
  <c r="J45" i="6"/>
  <c r="I45" i="6"/>
  <c r="J44" i="6"/>
  <c r="I44" i="6"/>
  <c r="J43" i="6"/>
  <c r="I43" i="6"/>
  <c r="J42" i="6"/>
  <c r="I42" i="6"/>
  <c r="J41" i="6"/>
  <c r="I41" i="6"/>
  <c r="J40" i="6"/>
  <c r="I40" i="6"/>
  <c r="J39" i="6"/>
  <c r="I3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J30" i="6"/>
  <c r="I30" i="6"/>
  <c r="J29" i="6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I6" i="6"/>
  <c r="J5" i="6"/>
  <c r="I5" i="6"/>
  <c r="J4" i="6"/>
  <c r="I4" i="6"/>
  <c r="J3" i="6"/>
  <c r="I3" i="6"/>
  <c r="J2" i="6"/>
  <c r="I2" i="6"/>
  <c r="F154" i="3"/>
  <c r="E154" i="3"/>
  <c r="F153" i="3"/>
  <c r="E153" i="3"/>
  <c r="F152" i="3"/>
  <c r="E152" i="3"/>
  <c r="F151" i="3"/>
  <c r="E151" i="3"/>
  <c r="F150" i="3"/>
  <c r="E150" i="3"/>
  <c r="F149" i="3"/>
  <c r="E149" i="3"/>
  <c r="F148" i="3"/>
  <c r="E148" i="3"/>
  <c r="F147" i="3"/>
  <c r="E147" i="3"/>
  <c r="F146" i="3"/>
  <c r="E146" i="3"/>
  <c r="G145" i="3"/>
  <c r="F145" i="3"/>
  <c r="E145" i="3"/>
  <c r="F144" i="3"/>
  <c r="E144" i="3"/>
  <c r="F143" i="3"/>
  <c r="E143" i="3"/>
  <c r="F142" i="3"/>
  <c r="E142" i="3"/>
  <c r="F141" i="3"/>
  <c r="E141" i="3"/>
  <c r="F140" i="3"/>
  <c r="E140" i="3"/>
  <c r="F139" i="3"/>
  <c r="E139" i="3"/>
  <c r="F138" i="3"/>
  <c r="E138" i="3"/>
  <c r="F137" i="3"/>
  <c r="E137" i="3"/>
  <c r="F135" i="3"/>
  <c r="E135" i="3"/>
  <c r="F134" i="3"/>
  <c r="E134" i="3"/>
  <c r="F133" i="3"/>
  <c r="E133" i="3"/>
  <c r="F132" i="3"/>
  <c r="E132" i="3"/>
  <c r="F131" i="3"/>
  <c r="E131" i="3"/>
  <c r="F130" i="3"/>
  <c r="E130" i="3"/>
  <c r="F129" i="3"/>
  <c r="E129" i="3"/>
  <c r="F128" i="3"/>
  <c r="E128" i="3"/>
  <c r="F127" i="3"/>
  <c r="E127" i="3"/>
  <c r="F126" i="3"/>
  <c r="E126" i="3"/>
  <c r="F125" i="3"/>
  <c r="E125" i="3"/>
  <c r="F124" i="3"/>
  <c r="E124" i="3"/>
  <c r="F123" i="3"/>
  <c r="E123" i="3"/>
  <c r="F122" i="3"/>
  <c r="E122" i="3"/>
  <c r="F121" i="3"/>
  <c r="E121" i="3"/>
  <c r="F120" i="3"/>
  <c r="E120" i="3"/>
  <c r="F119" i="3"/>
  <c r="E119" i="3"/>
  <c r="F118" i="3"/>
  <c r="E118" i="3"/>
  <c r="F117" i="3"/>
  <c r="E117" i="3"/>
  <c r="F116" i="3"/>
  <c r="E116" i="3"/>
  <c r="F115" i="3"/>
  <c r="E115" i="3"/>
  <c r="F114" i="3"/>
  <c r="E114" i="3"/>
  <c r="F113" i="3"/>
  <c r="E113" i="3"/>
  <c r="F112" i="3"/>
  <c r="E112" i="3"/>
  <c r="F111" i="3"/>
  <c r="E111" i="3"/>
  <c r="F110" i="3"/>
  <c r="E110" i="3"/>
  <c r="F109" i="3"/>
  <c r="E109" i="3"/>
  <c r="G108" i="3"/>
  <c r="F108" i="3"/>
  <c r="E108" i="3"/>
  <c r="F107" i="3"/>
  <c r="E107" i="3"/>
  <c r="F106" i="3"/>
  <c r="E106" i="3"/>
  <c r="F105" i="3"/>
  <c r="E105" i="3"/>
  <c r="F104" i="3"/>
  <c r="E104" i="3"/>
  <c r="F103" i="3"/>
  <c r="E103" i="3"/>
  <c r="F102" i="3"/>
  <c r="E102" i="3"/>
  <c r="F101" i="3"/>
  <c r="E101" i="3"/>
  <c r="F100" i="3"/>
  <c r="E100" i="3"/>
  <c r="F99" i="3"/>
  <c r="E99" i="3"/>
  <c r="F98" i="3"/>
  <c r="E98" i="3"/>
  <c r="F97" i="3"/>
  <c r="E97" i="3"/>
  <c r="F96" i="3"/>
  <c r="E96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F3" i="3"/>
  <c r="E3" i="3"/>
  <c r="F2" i="3"/>
  <c r="E2" i="3"/>
</calcChain>
</file>

<file path=xl/sharedStrings.xml><?xml version="1.0" encoding="utf-8"?>
<sst xmlns="http://schemas.openxmlformats.org/spreadsheetml/2006/main" count="4215" uniqueCount="534">
  <si>
    <t>Y</t>
  </si>
  <si>
    <t>Region</t>
  </si>
  <si>
    <t>Comment</t>
  </si>
  <si>
    <t>DateStamp</t>
  </si>
  <si>
    <t>Status</t>
  </si>
  <si>
    <t>NW</t>
  </si>
  <si>
    <t>N3_NW</t>
  </si>
  <si>
    <t>N3_NW0001-1</t>
  </si>
  <si>
    <t>n/a</t>
  </si>
  <si>
    <t>Side Road</t>
  </si>
  <si>
    <t>Warning</t>
  </si>
  <si>
    <t>W 016</t>
  </si>
  <si>
    <t>StraightPole</t>
  </si>
  <si>
    <t>TBC</t>
  </si>
  <si>
    <t>Grass</t>
  </si>
  <si>
    <t>&gt;1200</t>
  </si>
  <si>
    <t>NoneVisible</t>
  </si>
  <si>
    <t>N</t>
  </si>
  <si>
    <t>Class2</t>
  </si>
  <si>
    <t>Rennicks</t>
  </si>
  <si>
    <t>N/A</t>
  </si>
  <si>
    <t>Contractor</t>
  </si>
  <si>
    <t>N3_NW0002</t>
  </si>
  <si>
    <t>SideRoad</t>
  </si>
  <si>
    <t>Regulatory</t>
  </si>
  <si>
    <t>RUS 041</t>
  </si>
  <si>
    <t>07-Signature</t>
  </si>
  <si>
    <t>N3_NW0003</t>
  </si>
  <si>
    <t>W 063L</t>
  </si>
  <si>
    <t>01-Rennicks</t>
  </si>
  <si>
    <t>N3_NW0004a</t>
  </si>
  <si>
    <t>J185-1</t>
  </si>
  <si>
    <t>DS</t>
  </si>
  <si>
    <t>No</t>
  </si>
  <si>
    <t>Class 2</t>
  </si>
  <si>
    <t>Pembrokeshire</t>
  </si>
  <si>
    <t>Other</t>
  </si>
  <si>
    <t>N3_NW0004b</t>
  </si>
  <si>
    <t>NA</t>
  </si>
  <si>
    <t>Multiple Pole</t>
  </si>
  <si>
    <t>tighten socketts</t>
  </si>
  <si>
    <t>N3_NW0005a</t>
  </si>
  <si>
    <t>J185-2</t>
  </si>
  <si>
    <t>12-Other</t>
  </si>
  <si>
    <t>N3_NW0005b</t>
  </si>
  <si>
    <t>N3_NW0006</t>
  </si>
  <si>
    <t>Mainline</t>
  </si>
  <si>
    <t>RCS</t>
  </si>
  <si>
    <t>Passive</t>
  </si>
  <si>
    <t>FSP</t>
  </si>
  <si>
    <t>&lt;1500</t>
  </si>
  <si>
    <t>None</t>
  </si>
  <si>
    <t>N3_NW0007a</t>
  </si>
  <si>
    <t>2105a</t>
  </si>
  <si>
    <t>Other Information Sign</t>
  </si>
  <si>
    <t>Unknown</t>
  </si>
  <si>
    <t>N3_NW0007b</t>
  </si>
  <si>
    <t>2105b</t>
  </si>
  <si>
    <t>RUS 040</t>
  </si>
  <si>
    <t>N3_NW0008</t>
  </si>
  <si>
    <t>Class1</t>
  </si>
  <si>
    <t>N3_NW0009</t>
  </si>
  <si>
    <t>W 002L</t>
  </si>
  <si>
    <t>600-1200</t>
  </si>
  <si>
    <t>03-PWS</t>
  </si>
  <si>
    <t>Sign face slippage.</t>
  </si>
  <si>
    <t>N3_NW0009-1</t>
  </si>
  <si>
    <t>PWS</t>
  </si>
  <si>
    <t>N3_NW0011</t>
  </si>
  <si>
    <t>Mainline Verge</t>
  </si>
  <si>
    <t>Tourist</t>
  </si>
  <si>
    <t>N3_NW0012</t>
  </si>
  <si>
    <t>B058</t>
  </si>
  <si>
    <t>Combination</t>
  </si>
  <si>
    <t>W 001+W 051L+Other</t>
  </si>
  <si>
    <t>HFrame</t>
  </si>
  <si>
    <t>N3_NW0013</t>
  </si>
  <si>
    <t>B059</t>
  </si>
  <si>
    <t>N3_NW0015</t>
  </si>
  <si>
    <t>W 061L</t>
  </si>
  <si>
    <t>N3_NW0016</t>
  </si>
  <si>
    <t>W 061R</t>
  </si>
  <si>
    <t>N3_NW0017</t>
  </si>
  <si>
    <t>Microprismatic</t>
  </si>
  <si>
    <t>Sign no longer reflective.</t>
  </si>
  <si>
    <t>N3_NW0018</t>
  </si>
  <si>
    <t>N3_NW0020</t>
  </si>
  <si>
    <t>RUS 027</t>
  </si>
  <si>
    <t>N3_NW0021a</t>
  </si>
  <si>
    <t>SLOW</t>
  </si>
  <si>
    <t>450-600</t>
  </si>
  <si>
    <t>N3_NW0022</t>
  </si>
  <si>
    <t>W 015</t>
  </si>
  <si>
    <t>0-450</t>
  </si>
  <si>
    <t>N3_NW0023</t>
  </si>
  <si>
    <t>J186-3</t>
  </si>
  <si>
    <t>N3_NW0024</t>
  </si>
  <si>
    <t>J186-4</t>
  </si>
  <si>
    <t>&gt;1000</t>
  </si>
  <si>
    <t>N3_NW0025</t>
  </si>
  <si>
    <t>J186-5</t>
  </si>
  <si>
    <t>N3_NW0026</t>
  </si>
  <si>
    <t>J186-1</t>
  </si>
  <si>
    <t>N3_NW0027</t>
  </si>
  <si>
    <t>J186-2</t>
  </si>
  <si>
    <t>N3_NW0028a</t>
  </si>
  <si>
    <t>N3_NW0029</t>
  </si>
  <si>
    <t>N3_NW0030</t>
  </si>
  <si>
    <t>N3_NW0032a</t>
  </si>
  <si>
    <t>Single Straight Pole</t>
  </si>
  <si>
    <t>Signature</t>
  </si>
  <si>
    <t>N3_NW0033</t>
  </si>
  <si>
    <t>B061</t>
  </si>
  <si>
    <t>150M</t>
  </si>
  <si>
    <t>W 001+Other+RUS 014</t>
  </si>
  <si>
    <t>Overhead</t>
  </si>
  <si>
    <t>N3_NW0035</t>
  </si>
  <si>
    <t>B060</t>
  </si>
  <si>
    <t>N3_NW0037</t>
  </si>
  <si>
    <t>W 141</t>
  </si>
  <si>
    <t>N3_NW0038</t>
  </si>
  <si>
    <t>S102</t>
  </si>
  <si>
    <t>Minor foundation failure.</t>
  </si>
  <si>
    <t>N3_NW0039</t>
  </si>
  <si>
    <t>N3_NW0040</t>
  </si>
  <si>
    <t>N3_NW0041</t>
  </si>
  <si>
    <t>W 001</t>
  </si>
  <si>
    <t>NoneVisible+Overhead</t>
  </si>
  <si>
    <t>N3_NW0042</t>
  </si>
  <si>
    <t>RUS 028+RUS 040</t>
  </si>
  <si>
    <t>N3_NW0043</t>
  </si>
  <si>
    <t>J187-3</t>
  </si>
  <si>
    <t>N3_NW0044</t>
  </si>
  <si>
    <t>N3_NW0044 1</t>
  </si>
  <si>
    <t>Incorrect sign erected.</t>
  </si>
  <si>
    <t>N3_NW0045</t>
  </si>
  <si>
    <t>N3_NW0046</t>
  </si>
  <si>
    <t>N3_NW0047</t>
  </si>
  <si>
    <t>J187-1</t>
  </si>
  <si>
    <t>NoneVisible+Other</t>
  </si>
  <si>
    <t>N3_NW0048</t>
  </si>
  <si>
    <t>J187-2</t>
  </si>
  <si>
    <t>N3_NW0049a</t>
  </si>
  <si>
    <t>RUS 041A</t>
  </si>
  <si>
    <t>N3_NW0050</t>
  </si>
  <si>
    <t>W 004R+W 015</t>
  </si>
  <si>
    <t>N3_NW0051</t>
  </si>
  <si>
    <t>B062</t>
  </si>
  <si>
    <t>Hidden Dips Ahead</t>
  </si>
  <si>
    <t>Other+RUS 014</t>
  </si>
  <si>
    <t>N3_NW0052</t>
  </si>
  <si>
    <t>B063</t>
  </si>
  <si>
    <t>N3_NW0053</t>
  </si>
  <si>
    <t>N3_NW0054</t>
  </si>
  <si>
    <t>N3_NW0055</t>
  </si>
  <si>
    <t>W 071</t>
  </si>
  <si>
    <t>N3_NW0056a</t>
  </si>
  <si>
    <t>B064</t>
  </si>
  <si>
    <t>Hidden Dip Ahead</t>
  </si>
  <si>
    <t>N3_NW0056b</t>
  </si>
  <si>
    <t>Concealed Entrance Ahead</t>
  </si>
  <si>
    <t>Supplementary</t>
  </si>
  <si>
    <t>N3_NW0057</t>
  </si>
  <si>
    <t>W 051R</t>
  </si>
  <si>
    <t>N3_NW0058</t>
  </si>
  <si>
    <t>W 134</t>
  </si>
  <si>
    <t>N3_NW0059</t>
  </si>
  <si>
    <t>N3_NW0060</t>
  </si>
  <si>
    <t>N3_NW0061</t>
  </si>
  <si>
    <t>N3_NW0062</t>
  </si>
  <si>
    <t>N3_NW0063</t>
  </si>
  <si>
    <t>N3_NW0064</t>
  </si>
  <si>
    <t>N3_NW0066</t>
  </si>
  <si>
    <t>N3_NW0067</t>
  </si>
  <si>
    <t>N3_NW0068</t>
  </si>
  <si>
    <t>Concrete</t>
  </si>
  <si>
    <t>N3_NW0069</t>
  </si>
  <si>
    <t>N3_NW0070</t>
  </si>
  <si>
    <t>N3_NW0071</t>
  </si>
  <si>
    <t>N3_NW0072</t>
  </si>
  <si>
    <t>135M</t>
  </si>
  <si>
    <t>N3_NW0074</t>
  </si>
  <si>
    <t>N3_NW0075a</t>
  </si>
  <si>
    <t>N3_NW0076</t>
  </si>
  <si>
    <t>N3_NW0077</t>
  </si>
  <si>
    <t>J188-1</t>
  </si>
  <si>
    <t>N3_NW0078</t>
  </si>
  <si>
    <t>J188-2</t>
  </si>
  <si>
    <t>N3_NW0079</t>
  </si>
  <si>
    <t>J188-3</t>
  </si>
  <si>
    <t>Underground</t>
  </si>
  <si>
    <t>N3_NW0079-1</t>
  </si>
  <si>
    <t>W 062R</t>
  </si>
  <si>
    <t>N3_NW0080</t>
  </si>
  <si>
    <t>N3_NW0081</t>
  </si>
  <si>
    <t>150m</t>
  </si>
  <si>
    <t>W 002R</t>
  </si>
  <si>
    <t>HSD</t>
  </si>
  <si>
    <t>N3_NW0082</t>
  </si>
  <si>
    <t>OtherInformationSign</t>
  </si>
  <si>
    <t>N3_NW0083</t>
  </si>
  <si>
    <t>B065</t>
  </si>
  <si>
    <t>Concealed entrance ahead</t>
  </si>
  <si>
    <t>N3_NW0084-1</t>
  </si>
  <si>
    <t>N3_NW0085</t>
  </si>
  <si>
    <t>Sign missing but not requiring urgent replacement.</t>
  </si>
  <si>
    <t>N3_NW0086</t>
  </si>
  <si>
    <t>B066</t>
  </si>
  <si>
    <t>N3_NW0087</t>
  </si>
  <si>
    <t>N3_NW0088a</t>
  </si>
  <si>
    <t>N3_NW0089</t>
  </si>
  <si>
    <t>N3_NW0090</t>
  </si>
  <si>
    <t>J189-2</t>
  </si>
  <si>
    <t>N3_NW0091</t>
  </si>
  <si>
    <t>J189-1</t>
  </si>
  <si>
    <t>N3_NW0092</t>
  </si>
  <si>
    <t>J189-3</t>
  </si>
  <si>
    <t>N3_NW0093</t>
  </si>
  <si>
    <t>N3_NW0094</t>
  </si>
  <si>
    <t>N3_NW0095</t>
  </si>
  <si>
    <t>B067</t>
  </si>
  <si>
    <t>W 002R+Other</t>
  </si>
  <si>
    <t>N3_NW0097</t>
  </si>
  <si>
    <t>Town Sign+Traffic Calming+Other</t>
  </si>
  <si>
    <t>Sign poles too big.</t>
  </si>
  <si>
    <t>Yes</t>
  </si>
  <si>
    <t>N3_NW0098</t>
  </si>
  <si>
    <t>Traffic Calming+Other</t>
  </si>
  <si>
    <t>N3_NW0099</t>
  </si>
  <si>
    <t>Town Sign+Traffic Calming</t>
  </si>
  <si>
    <t>N3_NW0100</t>
  </si>
  <si>
    <t>N3_NW0101</t>
  </si>
  <si>
    <t>J190-7</t>
  </si>
  <si>
    <t>Jerol</t>
  </si>
  <si>
    <t>N3_NW0102</t>
  </si>
  <si>
    <t>ADS</t>
  </si>
  <si>
    <t>N3_NW0103</t>
  </si>
  <si>
    <t>N3_NW0104</t>
  </si>
  <si>
    <t>W 043</t>
  </si>
  <si>
    <t>Remove obsolete signs.</t>
  </si>
  <si>
    <t>N3_NW0105</t>
  </si>
  <si>
    <t>2158a</t>
  </si>
  <si>
    <t>N3_NW0106</t>
  </si>
  <si>
    <t>turned infound</t>
  </si>
  <si>
    <t>N3_NW0107</t>
  </si>
  <si>
    <t>N3_NW0108</t>
  </si>
  <si>
    <t>N3_NW0109</t>
  </si>
  <si>
    <t>Footpath</t>
  </si>
  <si>
    <t>Roundabout</t>
  </si>
  <si>
    <t>RUS 026</t>
  </si>
  <si>
    <t>Incorrect fasteners e.g. Wire</t>
  </si>
  <si>
    <t>N3_NW0110</t>
  </si>
  <si>
    <t>J190-2</t>
  </si>
  <si>
    <t>Island</t>
  </si>
  <si>
    <t>N3_NW0111a</t>
  </si>
  <si>
    <t>2202a</t>
  </si>
  <si>
    <t>N3_NW0111b</t>
  </si>
  <si>
    <t>2202b</t>
  </si>
  <si>
    <t>N3_NW0111c</t>
  </si>
  <si>
    <t>RUS 006</t>
  </si>
  <si>
    <t>N3_NW0112a</t>
  </si>
  <si>
    <t>2212a</t>
  </si>
  <si>
    <t>N3_NW0112b</t>
  </si>
  <si>
    <t>2212b</t>
  </si>
  <si>
    <t>N3_NW0112c</t>
  </si>
  <si>
    <t>N3_NW0113a</t>
  </si>
  <si>
    <t>2207a</t>
  </si>
  <si>
    <t>N3_NW0113b</t>
  </si>
  <si>
    <t>2207b</t>
  </si>
  <si>
    <t>N3_NW0113c</t>
  </si>
  <si>
    <t>N3_NW0114</t>
  </si>
  <si>
    <t>J190-5</t>
  </si>
  <si>
    <t>N3_NW0115</t>
  </si>
  <si>
    <t>N3_NW0116</t>
  </si>
  <si>
    <t>RUS 042</t>
  </si>
  <si>
    <t>Cranked Pole</t>
  </si>
  <si>
    <t>N3_NW0117</t>
  </si>
  <si>
    <t>CrankedPole</t>
  </si>
  <si>
    <t>N3_NW0118</t>
  </si>
  <si>
    <t>N3_NW0119</t>
  </si>
  <si>
    <t>J190-3</t>
  </si>
  <si>
    <t>Splitter Island</t>
  </si>
  <si>
    <t>N3_NW0120</t>
  </si>
  <si>
    <t>RUS 001</t>
  </si>
  <si>
    <t>500-1000</t>
  </si>
  <si>
    <t>N3_NW0120-1</t>
  </si>
  <si>
    <t>RUS001</t>
  </si>
  <si>
    <t>Bollard</t>
  </si>
  <si>
    <t>Base Plate</t>
  </si>
  <si>
    <t>N3_NW0121</t>
  </si>
  <si>
    <t>N3_NW0123</t>
  </si>
  <si>
    <t>J190-6</t>
  </si>
  <si>
    <t>N3_NW0123-1</t>
  </si>
  <si>
    <t>N3_NW0124</t>
  </si>
  <si>
    <t>N3_NW0125</t>
  </si>
  <si>
    <t>J190-1</t>
  </si>
  <si>
    <t>N3_NW0126</t>
  </si>
  <si>
    <t>Outside Road Boundary</t>
  </si>
  <si>
    <t>N3_NW0128</t>
  </si>
  <si>
    <t>N3_NW0129</t>
  </si>
  <si>
    <t>J191-1</t>
  </si>
  <si>
    <t>N3_NW0130</t>
  </si>
  <si>
    <t>J191-2</t>
  </si>
  <si>
    <t>OutsideRoad</t>
  </si>
  <si>
    <t>Vegetation obscuring sign.</t>
  </si>
  <si>
    <t>N3_NW0131</t>
  </si>
  <si>
    <t>J191-3</t>
  </si>
  <si>
    <t>N3_NW0132</t>
  </si>
  <si>
    <t>N3_NW0132-1</t>
  </si>
  <si>
    <t>N3_NW0132-2</t>
  </si>
  <si>
    <t>Sign face scratyched.</t>
  </si>
  <si>
    <t>N3_NW0132-3</t>
  </si>
  <si>
    <t>N3_NW0132-4</t>
  </si>
  <si>
    <t>N3_NW0133</t>
  </si>
  <si>
    <t>N3_NW0134</t>
  </si>
  <si>
    <t>N3_NW0135</t>
  </si>
  <si>
    <t>J191-4</t>
  </si>
  <si>
    <t>N3_NW0136</t>
  </si>
  <si>
    <t>Sign severely bent.</t>
  </si>
  <si>
    <t>N3-NW0136-1</t>
  </si>
  <si>
    <t>N3-NW0130-1</t>
  </si>
  <si>
    <t>N3 0049b</t>
  </si>
  <si>
    <t>P080 SLOW</t>
  </si>
  <si>
    <t>N3 0075b</t>
  </si>
  <si>
    <t>P080 Slow</t>
  </si>
  <si>
    <t>NW 0028b</t>
  </si>
  <si>
    <t>Slow</t>
  </si>
  <si>
    <t>N3 NW0021b</t>
  </si>
  <si>
    <t>N3 0088b</t>
  </si>
  <si>
    <t>N3 0110-2</t>
  </si>
  <si>
    <t>N3 0110-1</t>
  </si>
  <si>
    <t>Sign Route</t>
  </si>
  <si>
    <t>Inspector</t>
  </si>
  <si>
    <t>Kieran Kennedy</t>
  </si>
  <si>
    <t>Route</t>
  </si>
  <si>
    <t>Original Sign No</t>
  </si>
  <si>
    <t>Sign Photo</t>
  </si>
  <si>
    <t>Location Photo</t>
  </si>
  <si>
    <t>Other Sign Photo</t>
  </si>
  <si>
    <t>Easting</t>
  </si>
  <si>
    <t>Northing</t>
  </si>
  <si>
    <t>Site Type</t>
  </si>
  <si>
    <t>TM Comment</t>
  </si>
  <si>
    <t>Sign Type 1</t>
  </si>
  <si>
    <t>Sign Type 2</t>
  </si>
  <si>
    <t>Sign Mounting Type</t>
  </si>
  <si>
    <t>Passively Safe</t>
  </si>
  <si>
    <t>Foundation</t>
  </si>
  <si>
    <t>Retention Socket</t>
  </si>
  <si>
    <t>No. of Posts</t>
  </si>
  <si>
    <t>Pole Diameter (mm)</t>
  </si>
  <si>
    <t>Pole Spacing (mm)</t>
  </si>
  <si>
    <t>Carriageway Clearance</t>
  </si>
  <si>
    <t>Mounting Height (mm)</t>
  </si>
  <si>
    <t>Services</t>
  </si>
  <si>
    <t>Safety Barrier</t>
  </si>
  <si>
    <t>Distance to Barrier</t>
  </si>
  <si>
    <t>SF Width (mm)</t>
  </si>
  <si>
    <t>SF Height (mm)</t>
  </si>
  <si>
    <t>SF Material</t>
  </si>
  <si>
    <t>SF Manufacturer</t>
  </si>
  <si>
    <t>Manufacture Year</t>
  </si>
  <si>
    <t>Sign_Route</t>
  </si>
  <si>
    <t>Legacy Defect Category</t>
  </si>
  <si>
    <t>Sign_ Defect_id</t>
  </si>
  <si>
    <t>Defect Category</t>
  </si>
  <si>
    <t>Date Recorded</t>
  </si>
  <si>
    <t>Contract Period</t>
  </si>
  <si>
    <t>Raised By</t>
  </si>
  <si>
    <t>Survey ID</t>
  </si>
  <si>
    <t>Defect Photo</t>
  </si>
  <si>
    <t>Additional Defect Photo</t>
  </si>
  <si>
    <t>Defect Description</t>
  </si>
  <si>
    <t>Design Required</t>
  </si>
  <si>
    <t>Cost Estimate</t>
  </si>
  <si>
    <t>Approved</t>
  </si>
  <si>
    <t>Approved By</t>
  </si>
  <si>
    <t>Response Date</t>
  </si>
  <si>
    <t>Defect Rectified_date</t>
  </si>
  <si>
    <t>Remedial Works Photo</t>
  </si>
  <si>
    <t>Q1</t>
  </si>
  <si>
    <t>N3_NW_D00001</t>
  </si>
  <si>
    <t>N3_NW_D00002</t>
  </si>
  <si>
    <t>N3_NW_D00003</t>
  </si>
  <si>
    <t>N3_NW_D00004</t>
  </si>
  <si>
    <t>N3_NW_D00005</t>
  </si>
  <si>
    <t>N3_NW_D00006</t>
  </si>
  <si>
    <t>N3_NW_D00007</t>
  </si>
  <si>
    <t>N3_NW_D00008</t>
  </si>
  <si>
    <t>N3_NW_D00009</t>
  </si>
  <si>
    <t>N3_NW_D00010</t>
  </si>
  <si>
    <t>N3_NW_D00011</t>
  </si>
  <si>
    <t>N3_NW_D00012</t>
  </si>
  <si>
    <t>N3_NW_D00013</t>
  </si>
  <si>
    <t>N3_NW_D00014</t>
  </si>
  <si>
    <t>N3_NW_D00015</t>
  </si>
  <si>
    <t>N3_NW_D00016</t>
  </si>
  <si>
    <t>N3_NW_D00017</t>
  </si>
  <si>
    <t>N3_NW_D00018</t>
  </si>
  <si>
    <t>N3_NW_D00019</t>
  </si>
  <si>
    <t>N3_NW_D00020</t>
  </si>
  <si>
    <t>N3_NW_D00021</t>
  </si>
  <si>
    <t>N3_NW_D00022</t>
  </si>
  <si>
    <t>N3_NW_D00023</t>
  </si>
  <si>
    <t>N3_NW_D00024</t>
  </si>
  <si>
    <t>N3_NW_D00025</t>
  </si>
  <si>
    <t>N3_NW_D00026</t>
  </si>
  <si>
    <t>N3_NW_D00027</t>
  </si>
  <si>
    <t>N3_NW_D00028</t>
  </si>
  <si>
    <t>N3_NW_D00029</t>
  </si>
  <si>
    <t>N3_NW_D00030</t>
  </si>
  <si>
    <t>N3_NW_D00031</t>
  </si>
  <si>
    <t>N3_NW_D00032</t>
  </si>
  <si>
    <t>N3_NW_D00033</t>
  </si>
  <si>
    <t>N3_NW_D00034</t>
  </si>
  <si>
    <t>N3_NW_D00035</t>
  </si>
  <si>
    <t>N3_NW_D00036</t>
  </si>
  <si>
    <t>N3_NW_D00037</t>
  </si>
  <si>
    <t>N3_NW_D00038</t>
  </si>
  <si>
    <t>N3_NW_D00039</t>
  </si>
  <si>
    <t>N3_NW_D00040</t>
  </si>
  <si>
    <t>N3_NW_D00041</t>
  </si>
  <si>
    <t>N3_NW_D00042</t>
  </si>
  <si>
    <t>N3_NW_D00043</t>
  </si>
  <si>
    <t>N3_NW_D00044</t>
  </si>
  <si>
    <t>N3_NW_D00045</t>
  </si>
  <si>
    <t>N3_NW_D00046</t>
  </si>
  <si>
    <t>N3_NW_D00047</t>
  </si>
  <si>
    <t>N3_NW_D00048</t>
  </si>
  <si>
    <t>N3_NW_D00049</t>
  </si>
  <si>
    <t>N3_NW_D00050</t>
  </si>
  <si>
    <t>N3_NW_D00051</t>
  </si>
  <si>
    <t>N3_NW_D00052</t>
  </si>
  <si>
    <t>N3_NW_D00053</t>
  </si>
  <si>
    <t>N3_NW_D00054</t>
  </si>
  <si>
    <t>N3_NW_D00055</t>
  </si>
  <si>
    <t>N3_NW_D00056</t>
  </si>
  <si>
    <t>N3_NW_D00057</t>
  </si>
  <si>
    <t>N3_NW_D00058</t>
  </si>
  <si>
    <t>N3_NW_D00059</t>
  </si>
  <si>
    <t>N3_NW_D00060</t>
  </si>
  <si>
    <t>N3_NW_D00061</t>
  </si>
  <si>
    <t>N3_NW_D00062</t>
  </si>
  <si>
    <t>N3_NW_D00063</t>
  </si>
  <si>
    <t>N3_NW_D00064</t>
  </si>
  <si>
    <t>N3_NW_D00065</t>
  </si>
  <si>
    <t>N3_NW_D00066</t>
  </si>
  <si>
    <t>N3_NW_D00067</t>
  </si>
  <si>
    <t>N3_NW_D00068</t>
  </si>
  <si>
    <t>N3_NW_D00069</t>
  </si>
  <si>
    <t>N3_NW_D00070</t>
  </si>
  <si>
    <t>N3_NW_D00071</t>
  </si>
  <si>
    <t>N3_NW_D00072</t>
  </si>
  <si>
    <t>N3_NW_D00073</t>
  </si>
  <si>
    <t>N3_NW_D00074</t>
  </si>
  <si>
    <t>N3_NW_D00075</t>
  </si>
  <si>
    <t>N3_NW_D00076</t>
  </si>
  <si>
    <t>N3_NW_D00077</t>
  </si>
  <si>
    <t>N3_NW_D00078</t>
  </si>
  <si>
    <t>N3_NW_D00079</t>
  </si>
  <si>
    <t>N3_NW_D00080</t>
  </si>
  <si>
    <t>N3_NW_D00081</t>
  </si>
  <si>
    <t>N3_NW_D00082</t>
  </si>
  <si>
    <t>N3_NW_D00083</t>
  </si>
  <si>
    <t>N3_NW_D00084</t>
  </si>
  <si>
    <t>N3_NW_D00085</t>
  </si>
  <si>
    <t>N3_NW_D00086</t>
  </si>
  <si>
    <t>N3_NW_D00087</t>
  </si>
  <si>
    <t>N3_NW_D00088</t>
  </si>
  <si>
    <t>N3_NW_D00089</t>
  </si>
  <si>
    <t>N3_NW_D00090</t>
  </si>
  <si>
    <t>N3_NW_D00091</t>
  </si>
  <si>
    <t>N3_NW_D00092</t>
  </si>
  <si>
    <t>N3_NW_D00093</t>
  </si>
  <si>
    <t>N3_NW_D00094</t>
  </si>
  <si>
    <t>N3_NW_D00095</t>
  </si>
  <si>
    <t>N3_NW_D00096</t>
  </si>
  <si>
    <t>N3_NW_D00097</t>
  </si>
  <si>
    <t>N3_NW_D00098</t>
  </si>
  <si>
    <t>N3_NW_D00099</t>
  </si>
  <si>
    <t>N3_NW_D00100</t>
  </si>
  <si>
    <t>N3_NW_D00101</t>
  </si>
  <si>
    <t>N3_NW_D00102</t>
  </si>
  <si>
    <t>N3_NW_D00103</t>
  </si>
  <si>
    <t>N3_NW_D00104</t>
  </si>
  <si>
    <t>N3_NW_D00105</t>
  </si>
  <si>
    <t>N3_NW_D00106</t>
  </si>
  <si>
    <t>N3_NW_D00107</t>
  </si>
  <si>
    <t>N3_NW_D00108</t>
  </si>
  <si>
    <t>N3_NW_D00109</t>
  </si>
  <si>
    <t>N3_NW_D00110</t>
  </si>
  <si>
    <t>N3_NW_D00111</t>
  </si>
  <si>
    <t>N3_NW_D00112</t>
  </si>
  <si>
    <t>N3_NW_D00113</t>
  </si>
  <si>
    <t>N3_NW_D00114</t>
  </si>
  <si>
    <t>N3_NW_D00115</t>
  </si>
  <si>
    <t>N3_NW_D00116</t>
  </si>
  <si>
    <t>N3_NW_D00117</t>
  </si>
  <si>
    <t>N3_NW_D00118</t>
  </si>
  <si>
    <t>N3_NW_D00119</t>
  </si>
  <si>
    <t>N3_NW_D00120</t>
  </si>
  <si>
    <t>N3_NW_D00121</t>
  </si>
  <si>
    <t>N3_NW_D00122</t>
  </si>
  <si>
    <t>N3_NW_D00123</t>
  </si>
  <si>
    <t>N3_NW_D00124</t>
  </si>
  <si>
    <t>N3_NW_D00125</t>
  </si>
  <si>
    <t>N3_NW_D00126</t>
  </si>
  <si>
    <t>N3_NW_D00127</t>
  </si>
  <si>
    <t>N3_NW_D00128</t>
  </si>
  <si>
    <t>N3_NW_D00129</t>
  </si>
  <si>
    <t>N3_NW_D00130</t>
  </si>
  <si>
    <t>N3_NW_D00131</t>
  </si>
  <si>
    <t>N3_NW_D00132</t>
  </si>
  <si>
    <t>N3_NW_D00133</t>
  </si>
  <si>
    <t>N3_NW_D00134</t>
  </si>
  <si>
    <t>N3_NW_D00135</t>
  </si>
  <si>
    <t>N3_NW_D00136</t>
  </si>
  <si>
    <t>N3_NW_D00137</t>
  </si>
  <si>
    <t>N3_NW_D00138</t>
  </si>
  <si>
    <t>N3_NW_D00139</t>
  </si>
  <si>
    <t>N3_NW_D00140</t>
  </si>
  <si>
    <t>N3_NW_D00141</t>
  </si>
  <si>
    <t>N3_NW_D00142</t>
  </si>
  <si>
    <t>N3_NW_D00143</t>
  </si>
  <si>
    <t>N3_NW_D00144</t>
  </si>
  <si>
    <t>N3_NW_D00145</t>
  </si>
  <si>
    <t>N3_NW_D00146</t>
  </si>
  <si>
    <t>N3_NW_D00147</t>
  </si>
  <si>
    <t>N3_NW_D00148</t>
  </si>
  <si>
    <t>N3_NW_D00149</t>
  </si>
  <si>
    <t>N3_NW_D00150</t>
  </si>
  <si>
    <t>N3_NW_D00151</t>
  </si>
  <si>
    <t>N3_NW_D00152</t>
  </si>
  <si>
    <t>N3_NW_D00153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</si>
</sst>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charset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22">
    <xf numFmtId="0" fontId="0" fillId="0" borderId="0" xfId="0"/>
    <xf numFmtId="22" fontId="0" fillId="0" borderId="0" xfId="0" applyNumberFormat="1"/>
    <xf numFmtId="0" fontId="0" fillId="0" borderId="0" xfId="0"/>
    <xf numFmtId="0" fontId="16" fillId="33" borderId="10" xfId="0" applyFont="1" applyFill="1" applyBorder="1"/>
    <xf numFmtId="22" fontId="0" fillId="0" borderId="0" xfId="0" applyNumberFormat="1" applyAlignment="1">
      <alignment horizontal="left"/>
    </xf>
    <xf numFmtId="0" fontId="0" fillId="0" borderId="0" xfId="0"/>
    <xf numFmtId="0" fontId="16" fillId="33" borderId="10" xfId="0" applyFont="1" applyFill="1" applyBorder="1"/>
    <xf numFmtId="0" fontId="16" fillId="33" borderId="10" xfId="0" applyFont="1" applyFill="1" applyBorder="1" applyAlignment="1">
      <alignment horizontal="left"/>
    </xf>
    <xf numFmtId="0" fontId="16" fillId="34" borderId="10" xfId="0" applyFont="1" applyFill="1" applyBorder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6" fillId="33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8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C154"/>
  <sheetViews>
    <sheetView zoomScale="90" zoomScaleNormal="90" workbookViewId="0">
      <selection activeCell="E6" sqref="E6"/>
    </sheetView>
  </sheetViews>
  <sheetFormatPr defaultRowHeight="15" x14ac:dyDescent="0.25"/>
  <cols>
    <col min="1" max="1" width="18.28515625" customWidth="1"/>
    <col min="2" max="2" width="15.140625" bestFit="1" customWidth="1"/>
    <col min="3" max="3" width="17" customWidth="1"/>
  </cols>
  <sheetData>
    <row r="1" spans="1:3" x14ac:dyDescent="0.25">
      <c r="A1" s="3" t="s">
        <v>331</v>
      </c>
      <c r="B1" s="3" t="s">
        <v>332</v>
      </c>
      <c r="C1" s="3" t="s">
        <v>3</v>
      </c>
    </row>
    <row r="2" spans="1:3" x14ac:dyDescent="0.25">
      <c r="A2" t="s">
        <v>7</v>
      </c>
      <c r="B2" t="s">
        <v>333</v>
      </c>
      <c r="C2" s="1">
        <v>42276.502083333333</v>
      </c>
    </row>
    <row r="3" spans="1:3" x14ac:dyDescent="0.25">
      <c r="A3" t="s">
        <v>22</v>
      </c>
      <c r="B3" s="2" t="s">
        <v>333</v>
      </c>
      <c r="C3" s="1">
        <v>42276.504166666666</v>
      </c>
    </row>
    <row r="4" spans="1:3" x14ac:dyDescent="0.25">
      <c r="A4" t="s">
        <v>27</v>
      </c>
      <c r="B4" s="2" t="s">
        <v>333</v>
      </c>
      <c r="C4" s="1">
        <v>42276.506944444445</v>
      </c>
    </row>
    <row r="5" spans="1:3" x14ac:dyDescent="0.25">
      <c r="A5" t="s">
        <v>30</v>
      </c>
      <c r="B5" s="2" t="s">
        <v>333</v>
      </c>
      <c r="C5" s="1">
        <v>42276.509722222225</v>
      </c>
    </row>
    <row r="6" spans="1:3" x14ac:dyDescent="0.25">
      <c r="A6" t="s">
        <v>37</v>
      </c>
      <c r="B6" s="2" t="s">
        <v>333</v>
      </c>
      <c r="C6" s="1">
        <v>42276.515277777777</v>
      </c>
    </row>
    <row r="7" spans="1:3" x14ac:dyDescent="0.25">
      <c r="A7" t="s">
        <v>41</v>
      </c>
      <c r="B7" s="2" t="s">
        <v>333</v>
      </c>
      <c r="C7" s="1">
        <v>42276.5625</v>
      </c>
    </row>
    <row r="8" spans="1:3" x14ac:dyDescent="0.25">
      <c r="A8" t="s">
        <v>44</v>
      </c>
      <c r="B8" s="2" t="s">
        <v>333</v>
      </c>
      <c r="C8" s="1">
        <v>42276.563888888886</v>
      </c>
    </row>
    <row r="9" spans="1:3" x14ac:dyDescent="0.25">
      <c r="A9" t="s">
        <v>45</v>
      </c>
      <c r="B9" s="2" t="s">
        <v>333</v>
      </c>
      <c r="C9" s="1">
        <v>42276.520138888889</v>
      </c>
    </row>
    <row r="10" spans="1:3" x14ac:dyDescent="0.25">
      <c r="A10" t="s">
        <v>52</v>
      </c>
      <c r="B10" s="2" t="s">
        <v>333</v>
      </c>
      <c r="C10" s="1">
        <v>42276.565972222219</v>
      </c>
    </row>
    <row r="11" spans="1:3" x14ac:dyDescent="0.25">
      <c r="A11" t="s">
        <v>56</v>
      </c>
      <c r="B11" s="2" t="s">
        <v>333</v>
      </c>
      <c r="C11" s="1">
        <v>42276.568749999999</v>
      </c>
    </row>
    <row r="12" spans="1:3" x14ac:dyDescent="0.25">
      <c r="A12" t="s">
        <v>59</v>
      </c>
      <c r="B12" s="2" t="s">
        <v>333</v>
      </c>
      <c r="C12" s="1">
        <v>42276.570833333331</v>
      </c>
    </row>
    <row r="13" spans="1:3" x14ac:dyDescent="0.25">
      <c r="A13" t="s">
        <v>61</v>
      </c>
      <c r="B13" s="2" t="s">
        <v>333</v>
      </c>
      <c r="C13" s="1">
        <v>42276.572916666664</v>
      </c>
    </row>
    <row r="14" spans="1:3" x14ac:dyDescent="0.25">
      <c r="A14" t="s">
        <v>66</v>
      </c>
      <c r="B14" s="2" t="s">
        <v>333</v>
      </c>
      <c r="C14" s="1">
        <v>42276.575694444444</v>
      </c>
    </row>
    <row r="15" spans="1:3" x14ac:dyDescent="0.25">
      <c r="A15" t="s">
        <v>68</v>
      </c>
      <c r="B15" s="2" t="s">
        <v>333</v>
      </c>
      <c r="C15" s="1">
        <v>42276.583333333336</v>
      </c>
    </row>
    <row r="16" spans="1:3" x14ac:dyDescent="0.25">
      <c r="A16" t="s">
        <v>71</v>
      </c>
      <c r="B16" s="2" t="s">
        <v>333</v>
      </c>
      <c r="C16" s="1">
        <v>42276.586805555555</v>
      </c>
    </row>
    <row r="17" spans="1:3" x14ac:dyDescent="0.25">
      <c r="A17" t="s">
        <v>76</v>
      </c>
      <c r="B17" s="2" t="s">
        <v>333</v>
      </c>
      <c r="C17" s="1">
        <v>42276.589583333334</v>
      </c>
    </row>
    <row r="18" spans="1:3" x14ac:dyDescent="0.25">
      <c r="A18" t="s">
        <v>78</v>
      </c>
      <c r="B18" s="2" t="s">
        <v>333</v>
      </c>
      <c r="C18" s="1">
        <v>42276.595833333333</v>
      </c>
    </row>
    <row r="19" spans="1:3" x14ac:dyDescent="0.25">
      <c r="A19" t="s">
        <v>80</v>
      </c>
      <c r="B19" s="2" t="s">
        <v>333</v>
      </c>
      <c r="C19" s="1">
        <v>42276.597222222219</v>
      </c>
    </row>
    <row r="20" spans="1:3" x14ac:dyDescent="0.25">
      <c r="A20" t="s">
        <v>82</v>
      </c>
      <c r="B20" s="2" t="s">
        <v>333</v>
      </c>
      <c r="C20" s="1">
        <v>42276.598611111112</v>
      </c>
    </row>
    <row r="21" spans="1:3" x14ac:dyDescent="0.25">
      <c r="A21" t="s">
        <v>85</v>
      </c>
      <c r="B21" s="2" t="s">
        <v>333</v>
      </c>
      <c r="C21" s="1">
        <v>42276.601388888892</v>
      </c>
    </row>
    <row r="22" spans="1:3" x14ac:dyDescent="0.25">
      <c r="A22" t="s">
        <v>86</v>
      </c>
      <c r="B22" s="2" t="s">
        <v>333</v>
      </c>
      <c r="C22" s="1">
        <v>42276.611805555556</v>
      </c>
    </row>
    <row r="23" spans="1:3" x14ac:dyDescent="0.25">
      <c r="A23" t="s">
        <v>88</v>
      </c>
      <c r="B23" s="2" t="s">
        <v>333</v>
      </c>
      <c r="C23" s="1">
        <v>42276.613888888889</v>
      </c>
    </row>
    <row r="24" spans="1:3" x14ac:dyDescent="0.25">
      <c r="A24" t="s">
        <v>91</v>
      </c>
      <c r="B24" s="2" t="s">
        <v>333</v>
      </c>
      <c r="C24" s="1">
        <v>42276.615972222222</v>
      </c>
    </row>
    <row r="25" spans="1:3" x14ac:dyDescent="0.25">
      <c r="A25" t="s">
        <v>94</v>
      </c>
      <c r="B25" s="2" t="s">
        <v>333</v>
      </c>
      <c r="C25" s="1">
        <v>42276.618750000001</v>
      </c>
    </row>
    <row r="26" spans="1:3" x14ac:dyDescent="0.25">
      <c r="A26" t="s">
        <v>96</v>
      </c>
      <c r="B26" s="2" t="s">
        <v>333</v>
      </c>
      <c r="C26" s="1">
        <v>42276.607638888891</v>
      </c>
    </row>
    <row r="27" spans="1:3" x14ac:dyDescent="0.25">
      <c r="A27" t="s">
        <v>99</v>
      </c>
      <c r="B27" s="2" t="s">
        <v>333</v>
      </c>
      <c r="C27" s="1">
        <v>42276.605555555558</v>
      </c>
    </row>
    <row r="28" spans="1:3" x14ac:dyDescent="0.25">
      <c r="A28" t="s">
        <v>101</v>
      </c>
      <c r="B28" s="2" t="s">
        <v>333</v>
      </c>
      <c r="C28" s="1">
        <v>42276.61041666667</v>
      </c>
    </row>
    <row r="29" spans="1:3" x14ac:dyDescent="0.25">
      <c r="A29" t="s">
        <v>103</v>
      </c>
      <c r="B29" s="2" t="s">
        <v>333</v>
      </c>
      <c r="C29" s="1">
        <v>42276.621527777781</v>
      </c>
    </row>
    <row r="30" spans="1:3" x14ac:dyDescent="0.25">
      <c r="A30" t="s">
        <v>105</v>
      </c>
      <c r="B30" s="2" t="s">
        <v>333</v>
      </c>
      <c r="C30" s="1">
        <v>42276.625</v>
      </c>
    </row>
    <row r="31" spans="1:3" x14ac:dyDescent="0.25">
      <c r="A31" t="s">
        <v>106</v>
      </c>
      <c r="B31" s="2" t="s">
        <v>333</v>
      </c>
      <c r="C31" s="1">
        <v>42276.627083333333</v>
      </c>
    </row>
    <row r="32" spans="1:3" x14ac:dyDescent="0.25">
      <c r="A32" t="s">
        <v>107</v>
      </c>
      <c r="B32" s="2" t="s">
        <v>333</v>
      </c>
      <c r="C32" s="1">
        <v>42276.628472222219</v>
      </c>
    </row>
    <row r="33" spans="1:3" x14ac:dyDescent="0.25">
      <c r="A33" t="s">
        <v>108</v>
      </c>
      <c r="B33" s="2" t="s">
        <v>333</v>
      </c>
      <c r="C33" s="1">
        <v>42277.46597222222</v>
      </c>
    </row>
    <row r="34" spans="1:3" x14ac:dyDescent="0.25">
      <c r="A34" t="s">
        <v>111</v>
      </c>
      <c r="B34" s="2" t="s">
        <v>333</v>
      </c>
      <c r="C34" s="1">
        <v>42277.46875</v>
      </c>
    </row>
    <row r="35" spans="1:3" x14ac:dyDescent="0.25">
      <c r="A35" t="s">
        <v>116</v>
      </c>
      <c r="B35" s="2" t="s">
        <v>333</v>
      </c>
      <c r="C35" s="1">
        <v>42277.47152777778</v>
      </c>
    </row>
    <row r="36" spans="1:3" x14ac:dyDescent="0.25">
      <c r="A36" t="s">
        <v>118</v>
      </c>
      <c r="B36" s="2" t="s">
        <v>333</v>
      </c>
      <c r="C36" s="1">
        <v>42277.479861111111</v>
      </c>
    </row>
    <row r="37" spans="1:3" x14ac:dyDescent="0.25">
      <c r="A37" t="s">
        <v>120</v>
      </c>
      <c r="B37" s="2" t="s">
        <v>333</v>
      </c>
      <c r="C37" s="1">
        <v>42277.486111111109</v>
      </c>
    </row>
    <row r="38" spans="1:3" x14ac:dyDescent="0.25">
      <c r="A38" t="s">
        <v>123</v>
      </c>
      <c r="B38" s="2" t="s">
        <v>333</v>
      </c>
      <c r="C38" s="1">
        <v>42277.484027777777</v>
      </c>
    </row>
    <row r="39" spans="1:3" x14ac:dyDescent="0.25">
      <c r="A39" t="s">
        <v>124</v>
      </c>
      <c r="B39" s="2" t="s">
        <v>333</v>
      </c>
      <c r="C39" s="1">
        <v>42277.505555555559</v>
      </c>
    </row>
    <row r="40" spans="1:3" x14ac:dyDescent="0.25">
      <c r="A40" t="s">
        <v>125</v>
      </c>
      <c r="B40" s="2" t="s">
        <v>333</v>
      </c>
      <c r="C40" s="1">
        <v>42277.53402777778</v>
      </c>
    </row>
    <row r="41" spans="1:3" x14ac:dyDescent="0.25">
      <c r="A41" t="s">
        <v>128</v>
      </c>
      <c r="B41" s="2" t="s">
        <v>333</v>
      </c>
      <c r="C41" s="1">
        <v>42277.538194444445</v>
      </c>
    </row>
    <row r="42" spans="1:3" x14ac:dyDescent="0.25">
      <c r="A42" t="s">
        <v>130</v>
      </c>
      <c r="B42" s="2" t="s">
        <v>333</v>
      </c>
      <c r="C42" s="1">
        <v>42277.556250000001</v>
      </c>
    </row>
    <row r="43" spans="1:3" x14ac:dyDescent="0.25">
      <c r="A43" t="s">
        <v>132</v>
      </c>
      <c r="B43" s="2" t="s">
        <v>333</v>
      </c>
      <c r="C43" s="1">
        <v>42277.55972222222</v>
      </c>
    </row>
    <row r="44" spans="1:3" x14ac:dyDescent="0.25">
      <c r="A44" t="s">
        <v>133</v>
      </c>
      <c r="B44" s="2" t="s">
        <v>333</v>
      </c>
      <c r="C44" s="1">
        <v>42277.561111111114</v>
      </c>
    </row>
    <row r="45" spans="1:3" x14ac:dyDescent="0.25">
      <c r="A45" t="s">
        <v>135</v>
      </c>
      <c r="B45" s="2" t="s">
        <v>333</v>
      </c>
      <c r="C45" s="1">
        <v>42277.564583333333</v>
      </c>
    </row>
    <row r="46" spans="1:3" x14ac:dyDescent="0.25">
      <c r="A46" t="s">
        <v>136</v>
      </c>
      <c r="B46" s="2" t="s">
        <v>333</v>
      </c>
      <c r="C46" s="1">
        <v>42277.552083333336</v>
      </c>
    </row>
    <row r="47" spans="1:3" x14ac:dyDescent="0.25">
      <c r="A47" t="s">
        <v>137</v>
      </c>
      <c r="B47" s="2" t="s">
        <v>333</v>
      </c>
      <c r="C47" s="1">
        <v>42277.54583333333</v>
      </c>
    </row>
    <row r="48" spans="1:3" x14ac:dyDescent="0.25">
      <c r="A48" t="s">
        <v>140</v>
      </c>
      <c r="B48" s="2" t="s">
        <v>333</v>
      </c>
      <c r="C48" s="1">
        <v>42277.549305555556</v>
      </c>
    </row>
    <row r="49" spans="1:3" x14ac:dyDescent="0.25">
      <c r="A49" t="s">
        <v>142</v>
      </c>
      <c r="B49" s="2" t="s">
        <v>333</v>
      </c>
      <c r="C49" s="1">
        <v>42277.57916666667</v>
      </c>
    </row>
    <row r="50" spans="1:3" x14ac:dyDescent="0.25">
      <c r="A50" t="s">
        <v>144</v>
      </c>
      <c r="B50" s="2" t="s">
        <v>333</v>
      </c>
      <c r="C50" s="1">
        <v>42277.543055555558</v>
      </c>
    </row>
    <row r="51" spans="1:3" x14ac:dyDescent="0.25">
      <c r="A51" t="s">
        <v>146</v>
      </c>
      <c r="B51" s="2" t="s">
        <v>333</v>
      </c>
      <c r="C51" s="1">
        <v>42277.570833333331</v>
      </c>
    </row>
    <row r="52" spans="1:3" x14ac:dyDescent="0.25">
      <c r="A52" t="s">
        <v>150</v>
      </c>
      <c r="B52" s="2" t="s">
        <v>333</v>
      </c>
      <c r="C52" s="1">
        <v>42277.566666666666</v>
      </c>
    </row>
    <row r="53" spans="1:3" x14ac:dyDescent="0.25">
      <c r="A53" t="s">
        <v>152</v>
      </c>
      <c r="B53" s="2" t="s">
        <v>333</v>
      </c>
      <c r="C53" s="1">
        <v>42277.573611111111</v>
      </c>
    </row>
    <row r="54" spans="1:3" x14ac:dyDescent="0.25">
      <c r="A54" t="s">
        <v>153</v>
      </c>
      <c r="B54" s="2" t="s">
        <v>333</v>
      </c>
      <c r="C54" s="1">
        <v>42277.575694444444</v>
      </c>
    </row>
    <row r="55" spans="1:3" x14ac:dyDescent="0.25">
      <c r="A55" t="s">
        <v>154</v>
      </c>
      <c r="B55" s="2" t="s">
        <v>333</v>
      </c>
      <c r="C55" s="1">
        <v>42277.576388888891</v>
      </c>
    </row>
    <row r="56" spans="1:3" x14ac:dyDescent="0.25">
      <c r="A56" t="s">
        <v>156</v>
      </c>
      <c r="B56" s="2" t="s">
        <v>333</v>
      </c>
      <c r="C56" s="1">
        <v>42277.592361111114</v>
      </c>
    </row>
    <row r="57" spans="1:3" x14ac:dyDescent="0.25">
      <c r="A57" t="s">
        <v>159</v>
      </c>
      <c r="B57" s="2" t="s">
        <v>333</v>
      </c>
      <c r="C57" s="1">
        <v>42277.595138888886</v>
      </c>
    </row>
    <row r="58" spans="1:3" x14ac:dyDescent="0.25">
      <c r="A58" t="s">
        <v>162</v>
      </c>
      <c r="B58" s="2" t="s">
        <v>333</v>
      </c>
      <c r="C58" s="1">
        <v>42277.599999999999</v>
      </c>
    </row>
    <row r="59" spans="1:3" x14ac:dyDescent="0.25">
      <c r="A59" t="s">
        <v>164</v>
      </c>
      <c r="B59" s="2" t="s">
        <v>333</v>
      </c>
      <c r="C59" s="1">
        <v>42277.602777777778</v>
      </c>
    </row>
    <row r="60" spans="1:3" x14ac:dyDescent="0.25">
      <c r="A60" t="s">
        <v>166</v>
      </c>
      <c r="B60" s="2" t="s">
        <v>333</v>
      </c>
      <c r="C60" s="1">
        <v>42277.612500000003</v>
      </c>
    </row>
    <row r="61" spans="1:3" x14ac:dyDescent="0.25">
      <c r="A61" t="s">
        <v>167</v>
      </c>
      <c r="B61" s="2" t="s">
        <v>333</v>
      </c>
      <c r="C61" s="1">
        <v>42277.611111111109</v>
      </c>
    </row>
    <row r="62" spans="1:3" x14ac:dyDescent="0.25">
      <c r="A62" t="s">
        <v>168</v>
      </c>
      <c r="B62" s="2" t="s">
        <v>333</v>
      </c>
      <c r="C62" s="1">
        <v>42277.616666666669</v>
      </c>
    </row>
    <row r="63" spans="1:3" x14ac:dyDescent="0.25">
      <c r="A63" t="s">
        <v>169</v>
      </c>
      <c r="B63" s="2" t="s">
        <v>333</v>
      </c>
      <c r="C63" s="1">
        <v>42277.618750000001</v>
      </c>
    </row>
    <row r="64" spans="1:3" x14ac:dyDescent="0.25">
      <c r="A64" t="s">
        <v>170</v>
      </c>
      <c r="B64" s="2" t="s">
        <v>333</v>
      </c>
      <c r="C64" s="1">
        <v>42277.620138888888</v>
      </c>
    </row>
    <row r="65" spans="1:3" x14ac:dyDescent="0.25">
      <c r="A65" t="s">
        <v>171</v>
      </c>
      <c r="B65" s="2" t="s">
        <v>333</v>
      </c>
      <c r="C65" s="1">
        <v>42277.621527777781</v>
      </c>
    </row>
    <row r="66" spans="1:3" x14ac:dyDescent="0.25">
      <c r="A66" t="s">
        <v>172</v>
      </c>
      <c r="B66" s="2" t="s">
        <v>333</v>
      </c>
      <c r="C66" s="1">
        <v>42277.622916666667</v>
      </c>
    </row>
    <row r="67" spans="1:3" x14ac:dyDescent="0.25">
      <c r="A67" t="s">
        <v>173</v>
      </c>
      <c r="B67" s="2" t="s">
        <v>333</v>
      </c>
      <c r="C67" s="1">
        <v>42277.623611111114</v>
      </c>
    </row>
    <row r="68" spans="1:3" x14ac:dyDescent="0.25">
      <c r="A68" t="s">
        <v>174</v>
      </c>
      <c r="B68" s="2" t="s">
        <v>333</v>
      </c>
      <c r="C68" s="1">
        <v>42277.625</v>
      </c>
    </row>
    <row r="69" spans="1:3" x14ac:dyDescent="0.25">
      <c r="A69" t="s">
        <v>176</v>
      </c>
      <c r="B69" s="2" t="s">
        <v>333</v>
      </c>
      <c r="C69" s="1">
        <v>42277.626388888886</v>
      </c>
    </row>
    <row r="70" spans="1:3" x14ac:dyDescent="0.25">
      <c r="A70" t="s">
        <v>177</v>
      </c>
      <c r="B70" s="2" t="s">
        <v>333</v>
      </c>
      <c r="C70" s="1">
        <v>42277.627083333333</v>
      </c>
    </row>
    <row r="71" spans="1:3" x14ac:dyDescent="0.25">
      <c r="A71" t="s">
        <v>178</v>
      </c>
      <c r="B71" s="2" t="s">
        <v>333</v>
      </c>
      <c r="C71" s="1">
        <v>42277.629166666666</v>
      </c>
    </row>
    <row r="72" spans="1:3" x14ac:dyDescent="0.25">
      <c r="A72" t="s">
        <v>179</v>
      </c>
      <c r="B72" s="2" t="s">
        <v>333</v>
      </c>
      <c r="C72" s="1">
        <v>42277.630555555559</v>
      </c>
    </row>
    <row r="73" spans="1:3" x14ac:dyDescent="0.25">
      <c r="A73" t="s">
        <v>181</v>
      </c>
      <c r="B73" s="2" t="s">
        <v>333</v>
      </c>
      <c r="C73" s="1">
        <v>42277.616666666669</v>
      </c>
    </row>
    <row r="74" spans="1:3" x14ac:dyDescent="0.25">
      <c r="A74" t="s">
        <v>182</v>
      </c>
      <c r="B74" s="2" t="s">
        <v>333</v>
      </c>
      <c r="C74" s="1">
        <v>42277.65347222222</v>
      </c>
    </row>
    <row r="75" spans="1:3" x14ac:dyDescent="0.25">
      <c r="A75" t="s">
        <v>183</v>
      </c>
      <c r="B75" s="2" t="s">
        <v>333</v>
      </c>
      <c r="C75" s="1">
        <v>42277.65</v>
      </c>
    </row>
    <row r="76" spans="1:3" x14ac:dyDescent="0.25">
      <c r="A76" t="s">
        <v>184</v>
      </c>
      <c r="B76" s="2" t="s">
        <v>333</v>
      </c>
      <c r="C76" s="1">
        <v>42277.622916666667</v>
      </c>
    </row>
    <row r="77" spans="1:3" x14ac:dyDescent="0.25">
      <c r="A77" t="s">
        <v>186</v>
      </c>
      <c r="B77" s="2" t="s">
        <v>333</v>
      </c>
      <c r="C77" s="1">
        <v>42277.619444444441</v>
      </c>
    </row>
    <row r="78" spans="1:3" x14ac:dyDescent="0.25">
      <c r="A78" t="s">
        <v>188</v>
      </c>
      <c r="B78" s="2" t="s">
        <v>333</v>
      </c>
      <c r="C78" s="1">
        <v>42277.628472222219</v>
      </c>
    </row>
    <row r="79" spans="1:3" x14ac:dyDescent="0.25">
      <c r="A79" t="s">
        <v>191</v>
      </c>
      <c r="B79" s="2" t="s">
        <v>333</v>
      </c>
      <c r="C79" s="1">
        <v>42277.660416666666</v>
      </c>
    </row>
    <row r="80" spans="1:3" x14ac:dyDescent="0.25">
      <c r="A80" t="s">
        <v>193</v>
      </c>
      <c r="B80" s="2" t="s">
        <v>333</v>
      </c>
      <c r="C80" s="1">
        <v>42277.632638888892</v>
      </c>
    </row>
    <row r="81" spans="1:3" x14ac:dyDescent="0.25">
      <c r="A81" t="s">
        <v>194</v>
      </c>
      <c r="B81" s="2" t="s">
        <v>333</v>
      </c>
      <c r="C81" s="1">
        <v>42277.65625</v>
      </c>
    </row>
    <row r="82" spans="1:3" x14ac:dyDescent="0.25">
      <c r="A82" t="s">
        <v>198</v>
      </c>
      <c r="B82" s="2" t="s">
        <v>333</v>
      </c>
      <c r="C82" s="1">
        <v>42277.667361111111</v>
      </c>
    </row>
    <row r="83" spans="1:3" x14ac:dyDescent="0.25">
      <c r="A83" t="s">
        <v>200</v>
      </c>
      <c r="B83" s="2" t="s">
        <v>333</v>
      </c>
      <c r="C83" s="1">
        <v>42277.678472222222</v>
      </c>
    </row>
    <row r="84" spans="1:3" x14ac:dyDescent="0.25">
      <c r="A84" t="s">
        <v>203</v>
      </c>
      <c r="B84" s="2" t="s">
        <v>333</v>
      </c>
      <c r="C84" s="1">
        <v>42277.682638888888</v>
      </c>
    </row>
    <row r="85" spans="1:3" x14ac:dyDescent="0.25">
      <c r="A85" t="s">
        <v>204</v>
      </c>
      <c r="B85" s="2" t="s">
        <v>333</v>
      </c>
      <c r="C85" s="1">
        <v>42277.6875</v>
      </c>
    </row>
    <row r="86" spans="1:3" x14ac:dyDescent="0.25">
      <c r="A86" t="s">
        <v>206</v>
      </c>
      <c r="B86" s="2" t="s">
        <v>333</v>
      </c>
      <c r="C86" s="1">
        <v>42277.69027777778</v>
      </c>
    </row>
    <row r="87" spans="1:3" x14ac:dyDescent="0.25">
      <c r="A87" t="s">
        <v>208</v>
      </c>
      <c r="B87" s="2" t="s">
        <v>333</v>
      </c>
      <c r="C87" s="1">
        <v>42277.6875</v>
      </c>
    </row>
    <row r="88" spans="1:3" x14ac:dyDescent="0.25">
      <c r="A88" t="s">
        <v>209</v>
      </c>
      <c r="B88" s="2" t="s">
        <v>333</v>
      </c>
      <c r="C88" s="1">
        <v>42277.696527777778</v>
      </c>
    </row>
    <row r="89" spans="1:3" x14ac:dyDescent="0.25">
      <c r="A89" t="s">
        <v>210</v>
      </c>
      <c r="B89" s="2" t="s">
        <v>333</v>
      </c>
      <c r="C89" s="1">
        <v>42277.685416666667</v>
      </c>
    </row>
    <row r="90" spans="1:3" x14ac:dyDescent="0.25">
      <c r="A90" t="s">
        <v>211</v>
      </c>
      <c r="B90" s="2" t="s">
        <v>333</v>
      </c>
      <c r="C90" s="1">
        <v>42277.690972222219</v>
      </c>
    </row>
    <row r="91" spans="1:3" x14ac:dyDescent="0.25">
      <c r="A91" t="s">
        <v>213</v>
      </c>
      <c r="B91" s="2" t="s">
        <v>333</v>
      </c>
      <c r="C91" s="1">
        <v>42277.689583333333</v>
      </c>
    </row>
    <row r="92" spans="1:3" x14ac:dyDescent="0.25">
      <c r="A92" t="s">
        <v>215</v>
      </c>
      <c r="B92" s="2" t="s">
        <v>333</v>
      </c>
      <c r="C92" s="1">
        <v>42277.693055555559</v>
      </c>
    </row>
    <row r="93" spans="1:3" x14ac:dyDescent="0.25">
      <c r="A93" t="s">
        <v>217</v>
      </c>
      <c r="B93" s="2" t="s">
        <v>333</v>
      </c>
      <c r="C93" s="1">
        <v>42277.696527777778</v>
      </c>
    </row>
    <row r="94" spans="1:3" x14ac:dyDescent="0.25">
      <c r="A94" t="s">
        <v>218</v>
      </c>
      <c r="B94" s="2" t="s">
        <v>333</v>
      </c>
      <c r="C94" s="1">
        <v>42277.7</v>
      </c>
    </row>
    <row r="95" spans="1:3" x14ac:dyDescent="0.25">
      <c r="A95" t="s">
        <v>219</v>
      </c>
      <c r="B95" s="2" t="s">
        <v>333</v>
      </c>
      <c r="C95" s="1">
        <v>42277.70416666667</v>
      </c>
    </row>
    <row r="96" spans="1:3" x14ac:dyDescent="0.25">
      <c r="A96" t="s">
        <v>222</v>
      </c>
      <c r="B96" s="2" t="s">
        <v>333</v>
      </c>
      <c r="C96" s="1">
        <v>42278.581944444442</v>
      </c>
    </row>
    <row r="97" spans="1:3" x14ac:dyDescent="0.25">
      <c r="A97" t="s">
        <v>226</v>
      </c>
      <c r="B97" s="2" t="s">
        <v>333</v>
      </c>
      <c r="C97" s="1">
        <v>42278.579861111109</v>
      </c>
    </row>
    <row r="98" spans="1:3" x14ac:dyDescent="0.25">
      <c r="A98" t="s">
        <v>228</v>
      </c>
      <c r="B98" s="2" t="s">
        <v>333</v>
      </c>
      <c r="C98" s="1">
        <v>42278.57708333333</v>
      </c>
    </row>
    <row r="99" spans="1:3" x14ac:dyDescent="0.25">
      <c r="A99" t="s">
        <v>230</v>
      </c>
      <c r="B99" s="2" t="s">
        <v>333</v>
      </c>
      <c r="C99" s="1">
        <v>42278.573611111111</v>
      </c>
    </row>
    <row r="100" spans="1:3" x14ac:dyDescent="0.25">
      <c r="A100" t="s">
        <v>231</v>
      </c>
      <c r="B100" s="2" t="s">
        <v>333</v>
      </c>
      <c r="C100" s="1">
        <v>42278.407638888886</v>
      </c>
    </row>
    <row r="101" spans="1:3" x14ac:dyDescent="0.25">
      <c r="A101" t="s">
        <v>234</v>
      </c>
      <c r="B101" s="2" t="s">
        <v>333</v>
      </c>
      <c r="C101" s="1">
        <v>42278.413888888892</v>
      </c>
    </row>
    <row r="102" spans="1:3" x14ac:dyDescent="0.25">
      <c r="A102" t="s">
        <v>236</v>
      </c>
      <c r="B102" s="2" t="s">
        <v>333</v>
      </c>
      <c r="C102" s="1">
        <v>42278.416666666664</v>
      </c>
    </row>
    <row r="103" spans="1:3" x14ac:dyDescent="0.25">
      <c r="A103" t="s">
        <v>237</v>
      </c>
      <c r="B103" s="2" t="s">
        <v>333</v>
      </c>
      <c r="C103" s="1">
        <v>42278.42083333333</v>
      </c>
    </row>
    <row r="104" spans="1:3" x14ac:dyDescent="0.25">
      <c r="A104" t="s">
        <v>240</v>
      </c>
      <c r="B104" s="2" t="s">
        <v>333</v>
      </c>
      <c r="C104" s="1">
        <v>42278.51458333333</v>
      </c>
    </row>
    <row r="105" spans="1:3" x14ac:dyDescent="0.25">
      <c r="A105" t="s">
        <v>242</v>
      </c>
      <c r="B105" s="2" t="s">
        <v>333</v>
      </c>
      <c r="C105" s="1">
        <v>42278.51666666667</v>
      </c>
    </row>
    <row r="106" spans="1:3" x14ac:dyDescent="0.25">
      <c r="A106" t="s">
        <v>244</v>
      </c>
      <c r="B106" s="2" t="s">
        <v>333</v>
      </c>
      <c r="C106" s="1">
        <v>42278.505555555559</v>
      </c>
    </row>
    <row r="107" spans="1:3" x14ac:dyDescent="0.25">
      <c r="A107" t="s">
        <v>245</v>
      </c>
      <c r="B107" s="2" t="s">
        <v>333</v>
      </c>
      <c r="C107" s="1">
        <v>42278.509722222225</v>
      </c>
    </row>
    <row r="108" spans="1:3" x14ac:dyDescent="0.25">
      <c r="A108" t="s">
        <v>246</v>
      </c>
      <c r="B108" s="2" t="s">
        <v>333</v>
      </c>
      <c r="C108" s="1">
        <v>42278.429166666669</v>
      </c>
    </row>
    <row r="109" spans="1:3" x14ac:dyDescent="0.25">
      <c r="A109" t="s">
        <v>251</v>
      </c>
      <c r="B109" s="2" t="s">
        <v>333</v>
      </c>
      <c r="C109" s="1">
        <v>42278.432638888888</v>
      </c>
    </row>
    <row r="110" spans="1:3" x14ac:dyDescent="0.25">
      <c r="A110" t="s">
        <v>254</v>
      </c>
      <c r="B110" s="2" t="s">
        <v>333</v>
      </c>
      <c r="C110" s="1">
        <v>42278.451388888891</v>
      </c>
    </row>
    <row r="111" spans="1:3" x14ac:dyDescent="0.25">
      <c r="A111" t="s">
        <v>256</v>
      </c>
      <c r="B111" s="2" t="s">
        <v>333</v>
      </c>
      <c r="C111" s="1">
        <v>42278.45208333333</v>
      </c>
    </row>
    <row r="112" spans="1:3" x14ac:dyDescent="0.25">
      <c r="A112" t="s">
        <v>258</v>
      </c>
      <c r="B112" s="2" t="s">
        <v>333</v>
      </c>
      <c r="C112" s="1">
        <v>42278.45208333333</v>
      </c>
    </row>
    <row r="113" spans="1:3" x14ac:dyDescent="0.25">
      <c r="A113" t="s">
        <v>260</v>
      </c>
      <c r="B113" s="2" t="s">
        <v>333</v>
      </c>
      <c r="C113" s="1">
        <v>42278.459722222222</v>
      </c>
    </row>
    <row r="114" spans="1:3" x14ac:dyDescent="0.25">
      <c r="A114" t="s">
        <v>262</v>
      </c>
      <c r="B114" s="2" t="s">
        <v>333</v>
      </c>
      <c r="C114" s="1">
        <v>42278.459722222222</v>
      </c>
    </row>
    <row r="115" spans="1:3" x14ac:dyDescent="0.25">
      <c r="A115" t="s">
        <v>264</v>
      </c>
      <c r="B115" s="2" t="s">
        <v>333</v>
      </c>
      <c r="C115" s="1">
        <v>42278.460416666669</v>
      </c>
    </row>
    <row r="116" spans="1:3" x14ac:dyDescent="0.25">
      <c r="A116" t="s">
        <v>265</v>
      </c>
      <c r="B116" s="2" t="s">
        <v>333</v>
      </c>
      <c r="C116" s="1">
        <v>42278.46597222222</v>
      </c>
    </row>
    <row r="117" spans="1:3" x14ac:dyDescent="0.25">
      <c r="A117" t="s">
        <v>267</v>
      </c>
      <c r="B117" s="2" t="s">
        <v>333</v>
      </c>
      <c r="C117" s="1">
        <v>42278.46597222222</v>
      </c>
    </row>
    <row r="118" spans="1:3" x14ac:dyDescent="0.25">
      <c r="A118" t="s">
        <v>269</v>
      </c>
      <c r="B118" s="2" t="s">
        <v>333</v>
      </c>
      <c r="C118" s="1">
        <v>42278.466666666667</v>
      </c>
    </row>
    <row r="119" spans="1:3" x14ac:dyDescent="0.25">
      <c r="A119" t="s">
        <v>270</v>
      </c>
      <c r="B119" s="2" t="s">
        <v>333</v>
      </c>
      <c r="C119" s="1">
        <v>42278.53125</v>
      </c>
    </row>
    <row r="120" spans="1:3" x14ac:dyDescent="0.25">
      <c r="A120" t="s">
        <v>272</v>
      </c>
      <c r="B120" s="2" t="s">
        <v>333</v>
      </c>
      <c r="C120" s="1">
        <v>42278.527777777781</v>
      </c>
    </row>
    <row r="121" spans="1:3" x14ac:dyDescent="0.25">
      <c r="A121" t="s">
        <v>273</v>
      </c>
      <c r="B121" s="2" t="s">
        <v>333</v>
      </c>
      <c r="C121" s="1">
        <v>42278.525000000001</v>
      </c>
    </row>
    <row r="122" spans="1:3" x14ac:dyDescent="0.25">
      <c r="A122" t="s">
        <v>276</v>
      </c>
      <c r="B122" s="2" t="s">
        <v>333</v>
      </c>
      <c r="C122" s="1">
        <v>42278.522916666669</v>
      </c>
    </row>
    <row r="123" spans="1:3" x14ac:dyDescent="0.25">
      <c r="A123" t="s">
        <v>278</v>
      </c>
      <c r="B123" s="2" t="s">
        <v>333</v>
      </c>
      <c r="C123" s="1">
        <v>42278.484027777777</v>
      </c>
    </row>
    <row r="124" spans="1:3" x14ac:dyDescent="0.25">
      <c r="A124" t="s">
        <v>279</v>
      </c>
      <c r="B124" s="2" t="s">
        <v>333</v>
      </c>
      <c r="C124" s="1">
        <v>42278.488888888889</v>
      </c>
    </row>
    <row r="125" spans="1:3" x14ac:dyDescent="0.25">
      <c r="A125" t="s">
        <v>282</v>
      </c>
      <c r="B125" s="2" t="s">
        <v>333</v>
      </c>
      <c r="C125" s="1">
        <v>42278.520833333336</v>
      </c>
    </row>
    <row r="126" spans="1:3" x14ac:dyDescent="0.25">
      <c r="A126" t="s">
        <v>285</v>
      </c>
      <c r="B126" s="2" t="s">
        <v>333</v>
      </c>
      <c r="C126" s="1">
        <v>42278.53402777778</v>
      </c>
    </row>
    <row r="127" spans="1:3" x14ac:dyDescent="0.25">
      <c r="A127" t="s">
        <v>289</v>
      </c>
      <c r="B127" s="2" t="s">
        <v>333</v>
      </c>
      <c r="C127" s="1">
        <v>42278.593055555553</v>
      </c>
    </row>
    <row r="128" spans="1:3" x14ac:dyDescent="0.25">
      <c r="A128" t="s">
        <v>290</v>
      </c>
      <c r="B128" s="2" t="s">
        <v>333</v>
      </c>
      <c r="C128" s="1">
        <v>42278.481249999997</v>
      </c>
    </row>
    <row r="129" spans="1:3" x14ac:dyDescent="0.25">
      <c r="A129" t="s">
        <v>292</v>
      </c>
      <c r="B129" s="2" t="s">
        <v>333</v>
      </c>
      <c r="C129" s="1">
        <v>42278.479166666664</v>
      </c>
    </row>
    <row r="130" spans="1:3" x14ac:dyDescent="0.25">
      <c r="A130" t="s">
        <v>293</v>
      </c>
      <c r="B130" s="2" t="s">
        <v>333</v>
      </c>
      <c r="C130" s="1">
        <v>42278.477083333331</v>
      </c>
    </row>
    <row r="131" spans="1:3" x14ac:dyDescent="0.25">
      <c r="A131" t="s">
        <v>294</v>
      </c>
      <c r="B131" s="2" t="s">
        <v>333</v>
      </c>
      <c r="C131" s="1">
        <v>42278.474999999999</v>
      </c>
    </row>
    <row r="132" spans="1:3" x14ac:dyDescent="0.25">
      <c r="A132" t="s">
        <v>296</v>
      </c>
      <c r="B132" s="2" t="s">
        <v>333</v>
      </c>
      <c r="C132" s="1">
        <v>42278.6</v>
      </c>
    </row>
    <row r="133" spans="1:3" x14ac:dyDescent="0.25">
      <c r="A133" t="s">
        <v>298</v>
      </c>
      <c r="B133" s="2" t="s">
        <v>333</v>
      </c>
      <c r="C133" s="1">
        <v>42278.597222222219</v>
      </c>
    </row>
    <row r="134" spans="1:3" x14ac:dyDescent="0.25">
      <c r="A134" t="s">
        <v>299</v>
      </c>
      <c r="B134" s="2" t="s">
        <v>333</v>
      </c>
      <c r="C134" s="1">
        <v>42278.602777777778</v>
      </c>
    </row>
    <row r="135" spans="1:3" x14ac:dyDescent="0.25">
      <c r="A135" t="s">
        <v>301</v>
      </c>
      <c r="B135" s="2" t="s">
        <v>333</v>
      </c>
      <c r="C135" s="1">
        <v>42278.611111111109</v>
      </c>
    </row>
    <row r="136" spans="1:3" x14ac:dyDescent="0.25">
      <c r="A136" t="s">
        <v>305</v>
      </c>
      <c r="B136" s="2" t="s">
        <v>333</v>
      </c>
      <c r="C136" s="1">
        <v>42278.606249999997</v>
      </c>
    </row>
    <row r="137" spans="1:3" x14ac:dyDescent="0.25">
      <c r="A137" t="s">
        <v>307</v>
      </c>
      <c r="B137" s="2" t="s">
        <v>333</v>
      </c>
      <c r="C137" s="1">
        <v>42278.609027777777</v>
      </c>
    </row>
    <row r="138" spans="1:3" x14ac:dyDescent="0.25">
      <c r="A138" t="s">
        <v>308</v>
      </c>
      <c r="B138" s="2" t="s">
        <v>333</v>
      </c>
      <c r="C138" s="1">
        <v>42278.636111111111</v>
      </c>
    </row>
    <row r="139" spans="1:3" x14ac:dyDescent="0.25">
      <c r="A139" t="s">
        <v>309</v>
      </c>
      <c r="B139" s="2" t="s">
        <v>333</v>
      </c>
      <c r="C139" s="1">
        <v>42278.640277777777</v>
      </c>
    </row>
    <row r="140" spans="1:3" x14ac:dyDescent="0.25">
      <c r="A140" t="s">
        <v>311</v>
      </c>
      <c r="B140" s="2" t="s">
        <v>333</v>
      </c>
      <c r="C140" s="1">
        <v>42278.643055555556</v>
      </c>
    </row>
    <row r="141" spans="1:3" x14ac:dyDescent="0.25">
      <c r="A141" t="s">
        <v>312</v>
      </c>
      <c r="B141" s="2" t="s">
        <v>333</v>
      </c>
      <c r="C141" s="1">
        <v>42278.644444444442</v>
      </c>
    </row>
    <row r="142" spans="1:3" x14ac:dyDescent="0.25">
      <c r="A142" t="s">
        <v>313</v>
      </c>
      <c r="B142" s="2" t="s">
        <v>333</v>
      </c>
      <c r="C142" s="1">
        <v>42278.614583333336</v>
      </c>
    </row>
    <row r="143" spans="1:3" x14ac:dyDescent="0.25">
      <c r="A143" t="s">
        <v>314</v>
      </c>
      <c r="B143" s="2" t="s">
        <v>333</v>
      </c>
      <c r="C143" s="1">
        <v>42278.616666666669</v>
      </c>
    </row>
    <row r="144" spans="1:3" x14ac:dyDescent="0.25">
      <c r="A144" t="s">
        <v>315</v>
      </c>
      <c r="B144" s="2" t="s">
        <v>333</v>
      </c>
      <c r="C144" s="1">
        <v>42278.618055555555</v>
      </c>
    </row>
    <row r="145" spans="1:3" x14ac:dyDescent="0.25">
      <c r="A145" t="s">
        <v>317</v>
      </c>
      <c r="B145" s="2" t="s">
        <v>333</v>
      </c>
      <c r="C145" s="1">
        <v>42278.623611111114</v>
      </c>
    </row>
    <row r="146" spans="1:3" x14ac:dyDescent="0.25">
      <c r="A146" t="s">
        <v>319</v>
      </c>
      <c r="B146" s="2" t="s">
        <v>333</v>
      </c>
      <c r="C146" s="1">
        <v>42278.628472222219</v>
      </c>
    </row>
    <row r="147" spans="1:3" x14ac:dyDescent="0.25">
      <c r="A147" t="s">
        <v>320</v>
      </c>
      <c r="B147" s="2" t="s">
        <v>333</v>
      </c>
      <c r="C147" s="1">
        <v>42278.633333333331</v>
      </c>
    </row>
    <row r="148" spans="1:3" x14ac:dyDescent="0.25">
      <c r="A148" t="s">
        <v>321</v>
      </c>
      <c r="B148" s="2" t="s">
        <v>333</v>
      </c>
      <c r="C148" s="1">
        <v>42277.581944444442</v>
      </c>
    </row>
    <row r="149" spans="1:3" x14ac:dyDescent="0.25">
      <c r="A149" t="s">
        <v>323</v>
      </c>
      <c r="B149" s="2" t="s">
        <v>333</v>
      </c>
      <c r="C149" s="1">
        <v>42277.655555555553</v>
      </c>
    </row>
    <row r="150" spans="1:3" x14ac:dyDescent="0.25">
      <c r="A150" t="s">
        <v>325</v>
      </c>
      <c r="B150" s="2" t="s">
        <v>333</v>
      </c>
      <c r="C150" s="1">
        <v>42277.450694444444</v>
      </c>
    </row>
    <row r="151" spans="1:3" x14ac:dyDescent="0.25">
      <c r="A151" t="s">
        <v>327</v>
      </c>
      <c r="B151" s="2" t="s">
        <v>333</v>
      </c>
      <c r="C151" s="1">
        <v>42277.435416666667</v>
      </c>
    </row>
    <row r="152" spans="1:3" x14ac:dyDescent="0.25">
      <c r="A152" t="s">
        <v>328</v>
      </c>
      <c r="B152" s="2" t="s">
        <v>333</v>
      </c>
      <c r="C152" s="1">
        <v>42277.699305555558</v>
      </c>
    </row>
    <row r="153" spans="1:3" x14ac:dyDescent="0.25">
      <c r="A153" t="s">
        <v>329</v>
      </c>
      <c r="B153" s="2" t="s">
        <v>333</v>
      </c>
      <c r="C153" s="1">
        <v>42278.438194444447</v>
      </c>
    </row>
    <row r="154" spans="1:3" x14ac:dyDescent="0.25">
      <c r="A154" t="s">
        <v>330</v>
      </c>
      <c r="B154" s="2" t="s">
        <v>333</v>
      </c>
      <c r="C154" s="1">
        <v>42278.43472222222</v>
      </c>
    </row>
  </sheetData>
  <autoFilter ref="A1:C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197"/>
  <sheetViews>
    <sheetView zoomScale="80" zoomScaleNormal="80" workbookViewId="0">
      <selection activeCell="F27" sqref="F27"/>
    </sheetView>
  </sheetViews>
  <sheetFormatPr defaultRowHeight="15" x14ac:dyDescent="0.25"/>
  <cols>
    <col min="1" max="1" width="20.7109375" style="2" customWidth="1"/>
    <col min="2" max="3" width="9.140625" style="2"/>
    <col min="4" max="4" width="19" style="2" customWidth="1"/>
    <col min="5" max="5" width="38" style="2" customWidth="1"/>
    <col min="6" max="6" width="39.140625" style="2" customWidth="1"/>
    <col min="7" max="7" width="28.5703125" style="2" customWidth="1"/>
    <col min="8" max="8" width="16.28515625" style="2" customWidth="1"/>
    <col min="9" max="9" width="17.140625" style="2" customWidth="1"/>
    <col min="10" max="10" width="15.5703125" style="2" customWidth="1"/>
    <col min="11" max="11" width="15.85546875" style="2" customWidth="1"/>
    <col min="12" max="12" width="18.42578125" style="2" customWidth="1"/>
  </cols>
  <sheetData>
    <row r="1" spans="1:12" x14ac:dyDescent="0.25">
      <c r="A1" s="6" t="s">
        <v>331</v>
      </c>
      <c r="B1" s="6" t="s">
        <v>1</v>
      </c>
      <c r="C1" s="6" t="s">
        <v>334</v>
      </c>
      <c r="D1" s="7" t="s">
        <v>335</v>
      </c>
      <c r="E1" s="6" t="s">
        <v>336</v>
      </c>
      <c r="F1" s="6" t="s">
        <v>337</v>
      </c>
      <c r="G1" s="6" t="s">
        <v>338</v>
      </c>
      <c r="H1" s="6" t="s">
        <v>338</v>
      </c>
      <c r="I1" s="6" t="s">
        <v>339</v>
      </c>
      <c r="J1" s="6" t="s">
        <v>340</v>
      </c>
      <c r="K1" s="8" t="s">
        <v>341</v>
      </c>
      <c r="L1" s="8" t="s">
        <v>342</v>
      </c>
    </row>
    <row r="2" spans="1:12" x14ac:dyDescent="0.25">
      <c r="A2" t="s">
        <v>7</v>
      </c>
      <c r="B2" t="s">
        <v>5</v>
      </c>
      <c r="C2" t="s">
        <v>6</v>
      </c>
      <c r="D2" t="s">
        <v>8</v>
      </c>
      <c r="E2" t="str">
        <f>HYPERLINK("RMS Survey MB-2-Sign_Photo.JPG","RMS Survey MB-2-Sign_Photo")</f>
        <v>RMS Survey MB-2-Sign_Photo</v>
      </c>
      <c r="F2" t="str">
        <f>HYPERLINK("RMS Survey MB-2-Location_Photo.JPG","RMS Survey MB-2-Location_Photo")</f>
        <v>RMS Survey MB-2-Location_Photo</v>
      </c>
      <c r="G2"/>
      <c r="H2"/>
      <c r="I2" s="9">
        <v>556868.6</v>
      </c>
      <c r="J2" s="9">
        <v>788380.2</v>
      </c>
      <c r="K2" t="s">
        <v>9</v>
      </c>
      <c r="L2"/>
    </row>
    <row r="3" spans="1:12" x14ac:dyDescent="0.25">
      <c r="A3" t="s">
        <v>22</v>
      </c>
      <c r="B3" t="s">
        <v>5</v>
      </c>
      <c r="C3" t="s">
        <v>6</v>
      </c>
      <c r="D3" t="s">
        <v>8</v>
      </c>
      <c r="E3" t="str">
        <f>HYPERLINK("RMS Survey MB-3-Sign_Photo.JPG","RMS Survey MB-3-Sign_Photo")</f>
        <v>RMS Survey MB-3-Sign_Photo</v>
      </c>
      <c r="F3" t="str">
        <f>HYPERLINK("RMS Survey MB-3-Location_Photo.JPG","RMS Survey MB-3-Location_Photo")</f>
        <v>RMS Survey MB-3-Location_Photo</v>
      </c>
      <c r="G3"/>
      <c r="H3"/>
      <c r="I3" s="9">
        <v>556868.6</v>
      </c>
      <c r="J3" s="9">
        <v>788380.2</v>
      </c>
      <c r="K3" t="s">
        <v>23</v>
      </c>
      <c r="L3"/>
    </row>
    <row r="4" spans="1:12" x14ac:dyDescent="0.25">
      <c r="A4" t="s">
        <v>27</v>
      </c>
      <c r="B4" t="s">
        <v>5</v>
      </c>
      <c r="C4" t="s">
        <v>6</v>
      </c>
      <c r="D4" t="s">
        <v>8</v>
      </c>
      <c r="E4" t="str">
        <f>HYPERLINK("RMS Survey MB-4-Sign_Photo.JPG","RMS Survey MB-4-Sign_Photo")</f>
        <v>RMS Survey MB-4-Sign_Photo</v>
      </c>
      <c r="F4" t="str">
        <f>HYPERLINK("RMS Survey MB-4-Location_Photo.JPG","RMS Survey MB-4-Location_Photo")</f>
        <v>RMS Survey MB-4-Location_Photo</v>
      </c>
      <c r="G4"/>
      <c r="H4"/>
      <c r="I4" s="9">
        <v>556868.6</v>
      </c>
      <c r="J4" s="9">
        <v>788380.2</v>
      </c>
      <c r="K4" t="s">
        <v>9</v>
      </c>
      <c r="L4"/>
    </row>
    <row r="5" spans="1:12" x14ac:dyDescent="0.25">
      <c r="A5" t="s">
        <v>30</v>
      </c>
      <c r="B5" t="s">
        <v>5</v>
      </c>
      <c r="C5" t="s">
        <v>6</v>
      </c>
      <c r="D5" t="s">
        <v>31</v>
      </c>
      <c r="E5" t="str">
        <f>HYPERLINK("RMS Survey MB-5-Sign_Photo.JPG","RMS Survey MB-5-Sign_Photo")</f>
        <v>RMS Survey MB-5-Sign_Photo</v>
      </c>
      <c r="F5" t="str">
        <f>HYPERLINK("RMS Survey MB-5-Location_Photo.JPG","RMS Survey MB-5-Location_Photo")</f>
        <v>RMS Survey MB-5-Location_Photo</v>
      </c>
      <c r="G5"/>
      <c r="H5"/>
      <c r="I5" s="9">
        <v>556868.6</v>
      </c>
      <c r="J5" s="9">
        <v>788380.2</v>
      </c>
      <c r="K5" t="s">
        <v>23</v>
      </c>
      <c r="L5"/>
    </row>
    <row r="6" spans="1:12" x14ac:dyDescent="0.25">
      <c r="A6" t="s">
        <v>37</v>
      </c>
      <c r="B6" t="s">
        <v>5</v>
      </c>
      <c r="C6" t="s">
        <v>6</v>
      </c>
      <c r="D6"/>
      <c r="E6" t="str">
        <f>HYPERLINK("RMS Survey MB-6-Sign_Photo.JPG","RMS Survey MB-6-Sign_Photo")</f>
        <v>RMS Survey MB-6-Sign_Photo</v>
      </c>
      <c r="F6" t="str">
        <f>HYPERLINK("RMS Survey MB-6-Location_Photo.JPG","RMS Survey MB-6-Location_Photo")</f>
        <v>RMS Survey MB-6-Location_Photo</v>
      </c>
      <c r="G6"/>
      <c r="H6"/>
      <c r="I6" s="9">
        <v>556868.6</v>
      </c>
      <c r="J6" s="9">
        <v>788380.2</v>
      </c>
      <c r="K6" t="s">
        <v>9</v>
      </c>
      <c r="L6"/>
    </row>
    <row r="7" spans="1:12" x14ac:dyDescent="0.25">
      <c r="A7" t="s">
        <v>41</v>
      </c>
      <c r="B7" t="s">
        <v>5</v>
      </c>
      <c r="C7" t="s">
        <v>6</v>
      </c>
      <c r="D7" t="s">
        <v>42</v>
      </c>
      <c r="E7" t="str">
        <f>HYPERLINK("RMS Survey MB-7-Sign_Photo.JPG","RMS Survey MB-7-Sign_Photo")</f>
        <v>RMS Survey MB-7-Sign_Photo</v>
      </c>
      <c r="F7" t="str">
        <f>HYPERLINK("RMS Survey MB-7-Location_Photo.JPG","RMS Survey MB-7-Location_Photo")</f>
        <v>RMS Survey MB-7-Location_Photo</v>
      </c>
      <c r="G7"/>
      <c r="H7"/>
      <c r="I7" s="9">
        <v>556868.6</v>
      </c>
      <c r="J7" s="9">
        <v>788380.2</v>
      </c>
      <c r="K7"/>
      <c r="L7"/>
    </row>
    <row r="8" spans="1:12" x14ac:dyDescent="0.25">
      <c r="A8" t="s">
        <v>44</v>
      </c>
      <c r="B8" t="s">
        <v>5</v>
      </c>
      <c r="C8" t="s">
        <v>6</v>
      </c>
      <c r="D8" t="s">
        <v>42</v>
      </c>
      <c r="E8" t="str">
        <f>HYPERLINK("RMS Survey MB-8-Sign_Photo.JPG","RMS Survey MB-8-Sign_Photo")</f>
        <v>RMS Survey MB-8-Sign_Photo</v>
      </c>
      <c r="F8" t="str">
        <f>HYPERLINK("RMS Survey MB-8-Location_Photo.JPG","RMS Survey MB-8-Location_Photo")</f>
        <v>RMS Survey MB-8-Location_Photo</v>
      </c>
      <c r="G8"/>
      <c r="H8"/>
      <c r="I8" s="9">
        <v>593602.23</v>
      </c>
      <c r="J8" s="9">
        <v>858780.38</v>
      </c>
      <c r="K8" t="s">
        <v>23</v>
      </c>
      <c r="L8"/>
    </row>
    <row r="9" spans="1:12" x14ac:dyDescent="0.25">
      <c r="A9" t="s">
        <v>45</v>
      </c>
      <c r="B9" t="s">
        <v>5</v>
      </c>
      <c r="C9" t="s">
        <v>6</v>
      </c>
      <c r="D9">
        <v>2104</v>
      </c>
      <c r="E9" t="str">
        <f>HYPERLINK("RMS Survey MB-9-Sign_Photo.JPG","RMS Survey MB-9-Sign_Photo")</f>
        <v>RMS Survey MB-9-Sign_Photo</v>
      </c>
      <c r="F9" t="str">
        <f>HYPERLINK("RMS Survey MB-9-Location_Photo.JPG","RMS Survey MB-9-Location_Photo")</f>
        <v>RMS Survey MB-9-Location_Photo</v>
      </c>
      <c r="G9"/>
      <c r="H9"/>
      <c r="I9" s="9">
        <v>593551.04</v>
      </c>
      <c r="J9" s="9">
        <v>858787.32</v>
      </c>
      <c r="K9" t="s">
        <v>46</v>
      </c>
      <c r="L9"/>
    </row>
    <row r="10" spans="1:12" x14ac:dyDescent="0.25">
      <c r="A10" t="s">
        <v>52</v>
      </c>
      <c r="B10" t="s">
        <v>5</v>
      </c>
      <c r="C10" t="s">
        <v>6</v>
      </c>
      <c r="D10" t="s">
        <v>53</v>
      </c>
      <c r="E10" t="str">
        <f>HYPERLINK("RMS Survey MB-10-Sign_Photo.JPG","RMS Survey MB-10-Sign_Photo")</f>
        <v>RMS Survey MB-10-Sign_Photo</v>
      </c>
      <c r="F10" t="str">
        <f>HYPERLINK("RMS Survey MB-10-Location_Photo.JPG","RMS Survey MB-10-Location_Photo")</f>
        <v>RMS Survey MB-10-Location_Photo</v>
      </c>
      <c r="G10"/>
      <c r="H10"/>
      <c r="I10" s="9">
        <v>593518.78</v>
      </c>
      <c r="J10" s="9">
        <v>858811.1</v>
      </c>
      <c r="K10" t="s">
        <v>46</v>
      </c>
      <c r="L10"/>
    </row>
    <row r="11" spans="1:12" x14ac:dyDescent="0.25">
      <c r="A11" t="s">
        <v>56</v>
      </c>
      <c r="B11" t="s">
        <v>5</v>
      </c>
      <c r="C11" t="s">
        <v>6</v>
      </c>
      <c r="D11" t="s">
        <v>57</v>
      </c>
      <c r="E11" t="str">
        <f>HYPERLINK("RMS Survey MB-11-Sign_Photo.JPG","RMS Survey MB-11-Sign_Photo")</f>
        <v>RMS Survey MB-11-Sign_Photo</v>
      </c>
      <c r="F11" t="str">
        <f>HYPERLINK("RMS Survey MB-11-Location_Photo.JPG","RMS Survey MB-11-Location_Photo")</f>
        <v>RMS Survey MB-11-Location_Photo</v>
      </c>
      <c r="G11"/>
      <c r="H11"/>
      <c r="I11" s="9">
        <v>593518.78</v>
      </c>
      <c r="J11" s="9">
        <v>858811.1</v>
      </c>
      <c r="K11" t="s">
        <v>46</v>
      </c>
      <c r="L11"/>
    </row>
    <row r="12" spans="1:12" x14ac:dyDescent="0.25">
      <c r="A12" t="s">
        <v>59</v>
      </c>
      <c r="B12" t="s">
        <v>5</v>
      </c>
      <c r="C12" t="s">
        <v>6</v>
      </c>
      <c r="D12">
        <v>2106</v>
      </c>
      <c r="E12" t="str">
        <f>HYPERLINK("RMS Survey MB-12-Sign_Photo.JPG","RMS Survey MB-12-Sign_Photo")</f>
        <v>RMS Survey MB-12-Sign_Photo</v>
      </c>
      <c r="F12" t="str">
        <f>HYPERLINK("RMS Survey MB-12-Location_Photo.JPG","RMS Survey MB-12-Location_Photo")</f>
        <v>RMS Survey MB-12-Location_Photo</v>
      </c>
      <c r="G12"/>
      <c r="H12"/>
      <c r="I12" s="9">
        <v>593499.47</v>
      </c>
      <c r="J12" s="9">
        <v>858823.18</v>
      </c>
      <c r="K12" t="s">
        <v>46</v>
      </c>
      <c r="L12"/>
    </row>
    <row r="13" spans="1:12" x14ac:dyDescent="0.25">
      <c r="A13" t="s">
        <v>61</v>
      </c>
      <c r="B13" t="s">
        <v>5</v>
      </c>
      <c r="C13" t="s">
        <v>6</v>
      </c>
      <c r="D13">
        <v>2109</v>
      </c>
      <c r="E13" t="str">
        <f>HYPERLINK("RMS Survey MB-13-Sign_Photo.JPG","RMS Survey MB-13-Sign_Photo")</f>
        <v>RMS Survey MB-13-Sign_Photo</v>
      </c>
      <c r="F13" t="str">
        <f>HYPERLINK("RMS Survey MB-13-Location_Photo.JPG","RMS Survey MB-13-Location_Photo")</f>
        <v>RMS Survey MB-13-Location_Photo</v>
      </c>
      <c r="G13"/>
      <c r="H13"/>
      <c r="I13" s="9">
        <v>593500.13</v>
      </c>
      <c r="J13" s="9">
        <v>858829.49</v>
      </c>
      <c r="K13" t="s">
        <v>46</v>
      </c>
      <c r="L13"/>
    </row>
    <row r="14" spans="1:12" x14ac:dyDescent="0.25">
      <c r="A14" t="s">
        <v>66</v>
      </c>
      <c r="B14" t="s">
        <v>5</v>
      </c>
      <c r="C14" t="s">
        <v>6</v>
      </c>
      <c r="D14">
        <v>2109</v>
      </c>
      <c r="E14" t="str">
        <f>HYPERLINK("RMS Survey MB-14-Sign_Photo.JPG","RMS Survey MB-14-Sign_Photo")</f>
        <v>RMS Survey MB-14-Sign_Photo</v>
      </c>
      <c r="F14" t="str">
        <f>HYPERLINK("RMS Survey MB-14-Location_Photo.JPG","RMS Survey MB-14-Location_Photo")</f>
        <v>RMS Survey MB-14-Location_Photo</v>
      </c>
      <c r="G14"/>
      <c r="H14"/>
      <c r="I14" s="9">
        <v>593500.13</v>
      </c>
      <c r="J14" s="9">
        <v>858829.49</v>
      </c>
      <c r="K14" t="s">
        <v>46</v>
      </c>
      <c r="L14"/>
    </row>
    <row r="15" spans="1:12" x14ac:dyDescent="0.25">
      <c r="A15" t="s">
        <v>68</v>
      </c>
      <c r="B15" t="s">
        <v>5</v>
      </c>
      <c r="C15" t="s">
        <v>6</v>
      </c>
      <c r="D15" t="s">
        <v>8</v>
      </c>
      <c r="E15" t="str">
        <f>HYPERLINK("RMS Survey MB-15-Sign_Photo.JPG","RMS Survey MB-15-Sign_Photo")</f>
        <v>RMS Survey MB-15-Sign_Photo</v>
      </c>
      <c r="F15" t="str">
        <f>HYPERLINK("RMS Survey MB-15-Location_Photo.JPG","RMS Survey MB-15-Location_Photo")</f>
        <v>RMS Survey MB-15-Location_Photo</v>
      </c>
      <c r="G15"/>
      <c r="H15"/>
      <c r="I15" s="9">
        <v>593097.28</v>
      </c>
      <c r="J15" s="9">
        <v>859050.04</v>
      </c>
      <c r="K15" t="s">
        <v>69</v>
      </c>
      <c r="L15"/>
    </row>
    <row r="16" spans="1:12" x14ac:dyDescent="0.25">
      <c r="A16" t="s">
        <v>71</v>
      </c>
      <c r="B16" t="s">
        <v>5</v>
      </c>
      <c r="C16" t="s">
        <v>6</v>
      </c>
      <c r="D16" t="s">
        <v>72</v>
      </c>
      <c r="E16" t="str">
        <f>HYPERLINK("RMS Survey MB-16-Sign_Photo.JPG","RMS Survey MB-16-Sign_Photo")</f>
        <v>RMS Survey MB-16-Sign_Photo</v>
      </c>
      <c r="F16" t="str">
        <f>HYPERLINK("RMS Survey MB-16-Location_Photo.JPG","RMS Survey MB-16-Location_Photo")</f>
        <v>RMS Survey MB-16-Location_Photo</v>
      </c>
      <c r="G16"/>
      <c r="H16"/>
      <c r="I16" s="9">
        <v>593025.57999999996</v>
      </c>
      <c r="J16" s="9">
        <v>859127.3</v>
      </c>
      <c r="K16" t="s">
        <v>46</v>
      </c>
      <c r="L16"/>
    </row>
    <row r="17" spans="1:12" x14ac:dyDescent="0.25">
      <c r="A17" t="s">
        <v>76</v>
      </c>
      <c r="B17" t="s">
        <v>5</v>
      </c>
      <c r="C17" t="s">
        <v>6</v>
      </c>
      <c r="D17" t="s">
        <v>77</v>
      </c>
      <c r="E17" t="str">
        <f>HYPERLINK("RMS Survey MB-17-Sign_Photo.JPG","RMS Survey MB-17-Sign_Photo")</f>
        <v>RMS Survey MB-17-Sign_Photo</v>
      </c>
      <c r="F17" t="str">
        <f>HYPERLINK("RMS Survey MB-17-Location_Photo.JPG","RMS Survey MB-17-Location_Photo")</f>
        <v>RMS Survey MB-17-Location_Photo</v>
      </c>
      <c r="G17"/>
      <c r="H17"/>
      <c r="I17" s="9">
        <v>593024.41</v>
      </c>
      <c r="J17" s="9">
        <v>859140.29</v>
      </c>
      <c r="K17" t="s">
        <v>46</v>
      </c>
      <c r="L17"/>
    </row>
    <row r="18" spans="1:12" x14ac:dyDescent="0.25">
      <c r="A18" t="s">
        <v>78</v>
      </c>
      <c r="B18" t="s">
        <v>5</v>
      </c>
      <c r="C18" t="s">
        <v>6</v>
      </c>
      <c r="D18">
        <v>2112</v>
      </c>
      <c r="E18" t="str">
        <f>HYPERLINK("RMS Survey MB-18-Sign_Photo.JPG","RMS Survey MB-18-Sign_Photo")</f>
        <v>RMS Survey MB-18-Sign_Photo</v>
      </c>
      <c r="F18" t="str">
        <f>HYPERLINK("RMS Survey MB-18-Location_Photo.JPG","RMS Survey MB-18-Location_Photo")</f>
        <v>RMS Survey MB-18-Location_Photo</v>
      </c>
      <c r="G18"/>
      <c r="H18"/>
      <c r="I18" s="9">
        <v>592998.44999999995</v>
      </c>
      <c r="J18" s="9">
        <v>859182.61</v>
      </c>
      <c r="K18" t="s">
        <v>46</v>
      </c>
      <c r="L18"/>
    </row>
    <row r="19" spans="1:12" x14ac:dyDescent="0.25">
      <c r="A19" t="s">
        <v>80</v>
      </c>
      <c r="B19" t="s">
        <v>5</v>
      </c>
      <c r="C19" t="s">
        <v>6</v>
      </c>
      <c r="D19">
        <v>2113</v>
      </c>
      <c r="E19" t="str">
        <f>HYPERLINK("RMS Survey MB-19-Sign_Photo.JPG","RMS Survey MB-19-Sign_Photo")</f>
        <v>RMS Survey MB-19-Sign_Photo</v>
      </c>
      <c r="F19" t="str">
        <f>HYPERLINK("RMS Survey MB-19-Location_Photo.JPG","RMS Survey MB-19-Location_Photo")</f>
        <v>RMS Survey MB-19-Location_Photo</v>
      </c>
      <c r="G19"/>
      <c r="H19"/>
      <c r="I19" s="9">
        <v>592998.44999999995</v>
      </c>
      <c r="J19" s="9">
        <v>859182.61</v>
      </c>
      <c r="K19" t="s">
        <v>46</v>
      </c>
      <c r="L19"/>
    </row>
    <row r="20" spans="1:12" x14ac:dyDescent="0.25">
      <c r="A20" t="s">
        <v>82</v>
      </c>
      <c r="B20" t="s">
        <v>5</v>
      </c>
      <c r="C20" t="s">
        <v>6</v>
      </c>
      <c r="D20">
        <v>2114</v>
      </c>
      <c r="E20" t="str">
        <f>HYPERLINK("RMS Survey MB-20-Sign_Photo.JPG","RMS Survey MB-20-Sign_Photo")</f>
        <v>RMS Survey MB-20-Sign_Photo</v>
      </c>
      <c r="F20" t="str">
        <f>HYPERLINK("RMS Survey MB-20-Location_Photo.JPG","RMS Survey MB-20-Location_Photo")</f>
        <v>RMS Survey MB-20-Location_Photo</v>
      </c>
      <c r="G20"/>
      <c r="H20"/>
      <c r="I20" s="9">
        <v>592987.88</v>
      </c>
      <c r="J20" s="9">
        <v>859190.98</v>
      </c>
      <c r="K20" t="s">
        <v>46</v>
      </c>
      <c r="L20"/>
    </row>
    <row r="21" spans="1:12" x14ac:dyDescent="0.25">
      <c r="A21" t="s">
        <v>85</v>
      </c>
      <c r="B21" t="s">
        <v>5</v>
      </c>
      <c r="C21" t="s">
        <v>6</v>
      </c>
      <c r="D21">
        <v>2115</v>
      </c>
      <c r="E21" t="str">
        <f>HYPERLINK("RMS Survey MB-21-Sign_Photo.JPG","RMS Survey MB-21-Sign_Photo")</f>
        <v>RMS Survey MB-21-Sign_Photo</v>
      </c>
      <c r="F21" t="str">
        <f>HYPERLINK("RMS Survey MB-21-Location_Photo.JPG","RMS Survey MB-21-Location_Photo")</f>
        <v>RMS Survey MB-21-Location_Photo</v>
      </c>
      <c r="G21"/>
      <c r="H21"/>
      <c r="I21" s="9">
        <v>592987.02</v>
      </c>
      <c r="J21" s="9">
        <v>859191.9</v>
      </c>
      <c r="K21" t="s">
        <v>46</v>
      </c>
      <c r="L21"/>
    </row>
    <row r="22" spans="1:12" x14ac:dyDescent="0.25">
      <c r="A22" t="s">
        <v>86</v>
      </c>
      <c r="B22" t="s">
        <v>5</v>
      </c>
      <c r="C22" t="s">
        <v>6</v>
      </c>
      <c r="D22">
        <v>2117</v>
      </c>
      <c r="E22" t="str">
        <f>HYPERLINK("RMS Survey MB-22-Sign_Photo.JPG","RMS Survey MB-22-Sign_Photo")</f>
        <v>RMS Survey MB-22-Sign_Photo</v>
      </c>
      <c r="F22" t="str">
        <f>HYPERLINK("RMS Survey MB-22-Location_Photo.JPG","RMS Survey MB-22-Location_Photo")</f>
        <v>RMS Survey MB-22-Location_Photo</v>
      </c>
      <c r="G22"/>
      <c r="H22"/>
      <c r="I22" s="9">
        <v>592891.39</v>
      </c>
      <c r="J22" s="9">
        <v>859227.47</v>
      </c>
      <c r="K22" t="s">
        <v>23</v>
      </c>
      <c r="L22"/>
    </row>
    <row r="23" spans="1:12" x14ac:dyDescent="0.25">
      <c r="A23" t="s">
        <v>88</v>
      </c>
      <c r="B23" t="s">
        <v>5</v>
      </c>
      <c r="C23" t="s">
        <v>6</v>
      </c>
      <c r="D23">
        <v>21</v>
      </c>
      <c r="E23" t="str">
        <f>HYPERLINK("RMS Survey MB-23-Sign_Photo.JPG","RMS Survey MB-23-Sign_Photo")</f>
        <v>RMS Survey MB-23-Sign_Photo</v>
      </c>
      <c r="F23" t="str">
        <f>HYPERLINK("RMS Survey MB-23-Location_Photo.JPG","RMS Survey MB-23-Location_Photo")</f>
        <v>RMS Survey MB-23-Location_Photo</v>
      </c>
      <c r="G23"/>
      <c r="H23"/>
      <c r="I23" s="9">
        <v>592890.69999999995</v>
      </c>
      <c r="J23" s="9">
        <v>859205.03</v>
      </c>
      <c r="K23" t="s">
        <v>23</v>
      </c>
      <c r="L23" t="s">
        <v>89</v>
      </c>
    </row>
    <row r="24" spans="1:12" x14ac:dyDescent="0.25">
      <c r="A24" t="s">
        <v>91</v>
      </c>
      <c r="B24" t="s">
        <v>5</v>
      </c>
      <c r="C24" t="s">
        <v>6</v>
      </c>
      <c r="D24">
        <v>2180</v>
      </c>
      <c r="E24" t="str">
        <f>HYPERLINK("RMS Survey MB-24-Sign_Photo.JPG","RMS Survey MB-24-Sign_Photo")</f>
        <v>RMS Survey MB-24-Sign_Photo</v>
      </c>
      <c r="F24" t="str">
        <f>HYPERLINK("RMS Survey MB-24-Location_Photo.JPG","RMS Survey MB-24-Location_Photo")</f>
        <v>RMS Survey MB-24-Location_Photo</v>
      </c>
      <c r="G24"/>
      <c r="H24"/>
      <c r="I24" s="9">
        <v>592890.01</v>
      </c>
      <c r="J24" s="9">
        <v>859177.77</v>
      </c>
      <c r="K24" t="s">
        <v>23</v>
      </c>
      <c r="L24"/>
    </row>
    <row r="25" spans="1:12" x14ac:dyDescent="0.25">
      <c r="A25" t="s">
        <v>94</v>
      </c>
      <c r="B25" t="s">
        <v>5</v>
      </c>
      <c r="C25" t="s">
        <v>6</v>
      </c>
      <c r="D25" t="s">
        <v>95</v>
      </c>
      <c r="E25" t="str">
        <f>HYPERLINK("RMS Survey MB-25-Sign_Photo.JPG","RMS Survey MB-25-Sign_Photo")</f>
        <v>RMS Survey MB-25-Sign_Photo</v>
      </c>
      <c r="F25" t="str">
        <f>HYPERLINK("RMS Survey MB-25-Location_Photo.JPG","RMS Survey MB-25-Location_Photo")</f>
        <v>RMS Survey MB-25-Location_Photo</v>
      </c>
      <c r="G25"/>
      <c r="H25"/>
      <c r="I25" s="9">
        <v>592883.64</v>
      </c>
      <c r="J25" s="9">
        <v>859244.73</v>
      </c>
      <c r="K25" t="s">
        <v>46</v>
      </c>
      <c r="L25"/>
    </row>
    <row r="26" spans="1:12" x14ac:dyDescent="0.25">
      <c r="A26" t="s">
        <v>96</v>
      </c>
      <c r="B26" t="s">
        <v>5</v>
      </c>
      <c r="C26" t="s">
        <v>6</v>
      </c>
      <c r="D26" t="s">
        <v>97</v>
      </c>
      <c r="E26" t="str">
        <f>HYPERLINK("RMS Survey MB-26-Sign_Photo.JPG","RMS Survey MB-26-Sign_Photo")</f>
        <v>RMS Survey MB-26-Sign_Photo</v>
      </c>
      <c r="F26" t="str">
        <f>HYPERLINK("RMS Survey MB-26-Location_Photo.JPG","RMS Survey MB-26-Location_Photo")</f>
        <v>RMS Survey MB-26-Location_Photo</v>
      </c>
      <c r="G26"/>
      <c r="H26"/>
      <c r="I26" s="9">
        <v>592910.84</v>
      </c>
      <c r="J26" s="9">
        <v>859236.9</v>
      </c>
      <c r="K26" t="s">
        <v>69</v>
      </c>
      <c r="L26"/>
    </row>
    <row r="27" spans="1:12" x14ac:dyDescent="0.25">
      <c r="A27" t="s">
        <v>99</v>
      </c>
      <c r="B27" t="s">
        <v>5</v>
      </c>
      <c r="C27" t="s">
        <v>6</v>
      </c>
      <c r="D27" t="s">
        <v>100</v>
      </c>
      <c r="E27" t="str">
        <f>HYPERLINK("RMS Survey MB-27-Sign_Photo.JPG","RMS Survey MB-27-Sign_Photo")</f>
        <v>RMS Survey MB-27-Sign_Photo</v>
      </c>
      <c r="F27" t="str">
        <f>HYPERLINK("RMS Survey MB-27-Location_Photo.JPG","RMS Survey MB-27-Location_Photo")</f>
        <v>RMS Survey MB-27-Location_Photo</v>
      </c>
      <c r="G27"/>
      <c r="H27"/>
      <c r="I27" s="9">
        <v>592910.84</v>
      </c>
      <c r="J27" s="9">
        <v>859236.9</v>
      </c>
      <c r="K27" t="s">
        <v>69</v>
      </c>
      <c r="L27"/>
    </row>
    <row r="28" spans="1:12" x14ac:dyDescent="0.25">
      <c r="A28" t="s">
        <v>101</v>
      </c>
      <c r="B28" t="s">
        <v>5</v>
      </c>
      <c r="C28" t="s">
        <v>6</v>
      </c>
      <c r="D28" t="s">
        <v>102</v>
      </c>
      <c r="E28" t="str">
        <f>HYPERLINK("RMS Survey MB-28-Sign_Photo.JPG","RMS Survey MB-28-Sign_Photo")</f>
        <v>RMS Survey MB-28-Sign_Photo</v>
      </c>
      <c r="F28" t="str">
        <f>HYPERLINK("RMS Survey MB-28-Location_Photo.JPG","RMS Survey MB-28-Location_Photo")</f>
        <v>RMS Survey MB-28-Location_Photo</v>
      </c>
      <c r="G28"/>
      <c r="H28"/>
      <c r="I28" s="9">
        <v>592900.81000000006</v>
      </c>
      <c r="J28" s="9">
        <v>859248.78</v>
      </c>
      <c r="K28" t="s">
        <v>23</v>
      </c>
      <c r="L28"/>
    </row>
    <row r="29" spans="1:12" x14ac:dyDescent="0.25">
      <c r="A29" t="s">
        <v>103</v>
      </c>
      <c r="B29" t="s">
        <v>5</v>
      </c>
      <c r="C29" t="s">
        <v>6</v>
      </c>
      <c r="D29" t="s">
        <v>104</v>
      </c>
      <c r="E29" t="str">
        <f>HYPERLINK("RMS Survey MB-29-Sign_Photo.JPG","RMS Survey MB-29-Sign_Photo")</f>
        <v>RMS Survey MB-29-Sign_Photo</v>
      </c>
      <c r="F29" t="str">
        <f>HYPERLINK("RMS Survey MB-29-Location_Photo.JPG","RMS Survey MB-29-Location_Photo")</f>
        <v>RMS Survey MB-29-Location_Photo</v>
      </c>
      <c r="G29"/>
      <c r="H29"/>
      <c r="I29" s="9">
        <v>592898.57999999996</v>
      </c>
      <c r="J29" s="9">
        <v>859272.52</v>
      </c>
      <c r="K29" t="s">
        <v>23</v>
      </c>
      <c r="L29"/>
    </row>
    <row r="30" spans="1:12" x14ac:dyDescent="0.25">
      <c r="A30" t="s">
        <v>105</v>
      </c>
      <c r="B30" t="s">
        <v>5</v>
      </c>
      <c r="C30" t="s">
        <v>6</v>
      </c>
      <c r="D30" t="s">
        <v>8</v>
      </c>
      <c r="E30" t="str">
        <f>HYPERLINK("RMS Survey MB-30-Sign_Photo.JPG","RMS Survey MB-30-Sign_Photo")</f>
        <v>RMS Survey MB-30-Sign_Photo</v>
      </c>
      <c r="F30" t="str">
        <f>HYPERLINK("RMS Survey MB-30-Location_Photo.JPG","RMS Survey MB-30-Location_Photo")</f>
        <v>RMS Survey MB-30-Location_Photo</v>
      </c>
      <c r="G30"/>
      <c r="H30"/>
      <c r="I30" s="9">
        <v>592894.93999999994</v>
      </c>
      <c r="J30" s="9">
        <v>859290.16</v>
      </c>
      <c r="K30" t="s">
        <v>23</v>
      </c>
      <c r="L30"/>
    </row>
    <row r="31" spans="1:12" x14ac:dyDescent="0.25">
      <c r="A31" t="s">
        <v>106</v>
      </c>
      <c r="B31" t="s">
        <v>5</v>
      </c>
      <c r="C31" t="s">
        <v>6</v>
      </c>
      <c r="D31">
        <v>2181</v>
      </c>
      <c r="E31" t="str">
        <f>HYPERLINK("RMS Survey MB-31-Sign_Photo.JPG","RMS Survey MB-31-Sign_Photo")</f>
        <v>RMS Survey MB-31-Sign_Photo</v>
      </c>
      <c r="F31" t="str">
        <f>HYPERLINK("RMS Survey MB-31-Location_Photo.JPG","RMS Survey MB-31-Location_Photo")</f>
        <v>RMS Survey MB-31-Location_Photo</v>
      </c>
      <c r="G31"/>
      <c r="H31"/>
      <c r="I31" s="9">
        <v>592909.68999999994</v>
      </c>
      <c r="J31" s="9">
        <v>859335.2</v>
      </c>
      <c r="K31" t="s">
        <v>23</v>
      </c>
      <c r="L31"/>
    </row>
    <row r="32" spans="1:12" x14ac:dyDescent="0.25">
      <c r="A32" t="s">
        <v>107</v>
      </c>
      <c r="B32" t="s">
        <v>5</v>
      </c>
      <c r="C32" t="s">
        <v>6</v>
      </c>
      <c r="D32" t="s">
        <v>8</v>
      </c>
      <c r="E32" t="str">
        <f>HYPERLINK("RMS Survey MB-32-Sign_Photo.JPG","RMS Survey MB-32-Sign_Photo")</f>
        <v>RMS Survey MB-32-Sign_Photo</v>
      </c>
      <c r="F32" t="str">
        <f>HYPERLINK("RMS Survey MB-32-Location_Photo.JPG","RMS Survey MB-32-Location_Photo")</f>
        <v>RMS Survey MB-32-Location_Photo</v>
      </c>
      <c r="G32"/>
      <c r="H32"/>
      <c r="I32" s="9">
        <v>592869.73</v>
      </c>
      <c r="J32" s="9">
        <v>859263.3</v>
      </c>
      <c r="K32" t="s">
        <v>23</v>
      </c>
      <c r="L32"/>
    </row>
    <row r="33" spans="1:12" x14ac:dyDescent="0.25">
      <c r="A33" t="s">
        <v>108</v>
      </c>
      <c r="B33" t="s">
        <v>5</v>
      </c>
      <c r="C33" t="s">
        <v>6</v>
      </c>
      <c r="D33" t="s">
        <v>8</v>
      </c>
      <c r="E33" t="str">
        <f>HYPERLINK("RMS Survey MB-33-Sign_Photo.JPG","RMS Survey MB-33-Sign_Photo")</f>
        <v>RMS Survey MB-33-Sign_Photo</v>
      </c>
      <c r="F33" t="str">
        <f>HYPERLINK("RMS Survey MB-33-Location_Photo.JPG","RMS Survey MB-33-Location_Photo")</f>
        <v>RMS Survey MB-33-Location_Photo</v>
      </c>
      <c r="G33"/>
      <c r="H33"/>
      <c r="I33" s="9">
        <v>592806.05000000005</v>
      </c>
      <c r="J33" s="9">
        <v>859280.09</v>
      </c>
      <c r="K33" t="s">
        <v>46</v>
      </c>
      <c r="L33"/>
    </row>
    <row r="34" spans="1:12" x14ac:dyDescent="0.25">
      <c r="A34" t="s">
        <v>111</v>
      </c>
      <c r="B34" t="s">
        <v>5</v>
      </c>
      <c r="C34" t="s">
        <v>6</v>
      </c>
      <c r="D34" t="s">
        <v>112</v>
      </c>
      <c r="E34" t="str">
        <f>HYPERLINK("RMS Survey MB-35-Sign_Photo.JPG","RMS Survey MB-35-Sign_Photo")</f>
        <v>RMS Survey MB-35-Sign_Photo</v>
      </c>
      <c r="F34" t="str">
        <f>HYPERLINK("RMS Survey MB-35-Location_Photo.JPG","RMS Survey MB-35-Location_Photo")</f>
        <v>RMS Survey MB-35-Location_Photo</v>
      </c>
      <c r="G34"/>
      <c r="H34"/>
      <c r="I34" s="9">
        <v>592751.03</v>
      </c>
      <c r="J34" s="9">
        <v>859320.05</v>
      </c>
      <c r="K34" t="s">
        <v>46</v>
      </c>
      <c r="L34" t="s">
        <v>113</v>
      </c>
    </row>
    <row r="35" spans="1:12" x14ac:dyDescent="0.25">
      <c r="A35" t="s">
        <v>116</v>
      </c>
      <c r="B35" t="s">
        <v>5</v>
      </c>
      <c r="C35" t="s">
        <v>6</v>
      </c>
      <c r="D35" t="s">
        <v>117</v>
      </c>
      <c r="E35" t="str">
        <f>HYPERLINK("RMS Survey MB-36-Sign_Photo.JPG","RMS Survey MB-36-Sign_Photo")</f>
        <v>RMS Survey MB-36-Sign_Photo</v>
      </c>
      <c r="F35" t="str">
        <f>HYPERLINK("RMS Survey MB-36-Location_Photo.JPG","RMS Survey MB-36-Location_Photo")</f>
        <v>RMS Survey MB-36-Location_Photo</v>
      </c>
      <c r="G35"/>
      <c r="H35"/>
      <c r="I35" s="9">
        <v>592748.43999999994</v>
      </c>
      <c r="J35" s="9">
        <v>859315.6</v>
      </c>
      <c r="K35" t="s">
        <v>46</v>
      </c>
      <c r="L35" t="s">
        <v>113</v>
      </c>
    </row>
    <row r="36" spans="1:12" x14ac:dyDescent="0.25">
      <c r="A36" t="s">
        <v>118</v>
      </c>
      <c r="B36" t="s">
        <v>5</v>
      </c>
      <c r="C36" t="s">
        <v>6</v>
      </c>
      <c r="D36">
        <v>2121</v>
      </c>
      <c r="E36" t="str">
        <f>HYPERLINK("RMS Survey MB-37-Sign_Photo.JPG","RMS Survey MB-37-Sign_Photo")</f>
        <v>RMS Survey MB-37-Sign_Photo</v>
      </c>
      <c r="F36" t="str">
        <f>HYPERLINK("RMS Survey MB-37-Location_Photo.JPG","RMS Survey MB-37-Location_Photo")</f>
        <v>RMS Survey MB-37-Location_Photo</v>
      </c>
      <c r="G36"/>
      <c r="H36"/>
      <c r="I36" s="9">
        <v>592488.5</v>
      </c>
      <c r="J36" s="9">
        <v>859381.12</v>
      </c>
      <c r="K36" t="s">
        <v>46</v>
      </c>
      <c r="L36"/>
    </row>
    <row r="37" spans="1:12" x14ac:dyDescent="0.25">
      <c r="A37" t="s">
        <v>120</v>
      </c>
      <c r="B37" t="s">
        <v>5</v>
      </c>
      <c r="C37" t="s">
        <v>6</v>
      </c>
      <c r="D37">
        <v>2122</v>
      </c>
      <c r="E37" t="str">
        <f>HYPERLINK("RMS Survey MB-38-Sign_Photo.JPG","RMS Survey MB-38-Sign_Photo")</f>
        <v>RMS Survey MB-38-Sign_Photo</v>
      </c>
      <c r="F37" t="str">
        <f>HYPERLINK("RMS Survey MB-38-Location_Photo.JPG","RMS Survey MB-38-Location_Photo")</f>
        <v>RMS Survey MB-38-Location_Photo</v>
      </c>
      <c r="G37"/>
      <c r="H37"/>
      <c r="I37" s="9">
        <v>592296.9</v>
      </c>
      <c r="J37" s="9">
        <v>859433.74</v>
      </c>
      <c r="K37" t="s">
        <v>46</v>
      </c>
      <c r="L37" t="s">
        <v>121</v>
      </c>
    </row>
    <row r="38" spans="1:12" x14ac:dyDescent="0.25">
      <c r="A38" t="s">
        <v>123</v>
      </c>
      <c r="B38" t="s">
        <v>5</v>
      </c>
      <c r="C38" t="s">
        <v>6</v>
      </c>
      <c r="D38" t="s">
        <v>8</v>
      </c>
      <c r="E38" t="str">
        <f>HYPERLINK("RMS Survey MB-39-Sign_Photo.JPG","RMS Survey MB-39-Sign_Photo")</f>
        <v>RMS Survey MB-39-Sign_Photo</v>
      </c>
      <c r="F38" t="str">
        <f>HYPERLINK("RMS Survey MB-39-Location_Photo.JPG","RMS Survey MB-39-Location_Photo")</f>
        <v>RMS Survey MB-39-Location_Photo</v>
      </c>
      <c r="G38"/>
      <c r="H38"/>
      <c r="I38" s="9">
        <v>592480.75</v>
      </c>
      <c r="J38" s="9">
        <v>859396.15</v>
      </c>
      <c r="K38" t="s">
        <v>46</v>
      </c>
      <c r="L38"/>
    </row>
    <row r="39" spans="1:12" x14ac:dyDescent="0.25">
      <c r="A39" t="s">
        <v>124</v>
      </c>
      <c r="B39" t="s">
        <v>5</v>
      </c>
      <c r="C39" t="s">
        <v>6</v>
      </c>
      <c r="D39">
        <v>2123</v>
      </c>
      <c r="E39" t="str">
        <f>HYPERLINK("RMS Survey MB-40-Sign_Photo.JPG","RMS Survey MB-40-Sign_Photo")</f>
        <v>RMS Survey MB-40-Sign_Photo</v>
      </c>
      <c r="F39" t="str">
        <f>HYPERLINK("RMS Survey MB-40-Location_Photo.JPG","RMS Survey MB-40-Location_Photo")</f>
        <v>RMS Survey MB-40-Location_Photo</v>
      </c>
      <c r="G39"/>
      <c r="H39"/>
      <c r="I39" s="9">
        <v>592030.31999999995</v>
      </c>
      <c r="J39" s="9">
        <v>859519.51</v>
      </c>
      <c r="K39" t="s">
        <v>46</v>
      </c>
      <c r="L39" t="s">
        <v>121</v>
      </c>
    </row>
    <row r="40" spans="1:12" x14ac:dyDescent="0.25">
      <c r="A40" t="s">
        <v>125</v>
      </c>
      <c r="B40" t="s">
        <v>5</v>
      </c>
      <c r="C40" t="s">
        <v>6</v>
      </c>
      <c r="D40">
        <v>2182</v>
      </c>
      <c r="E40" t="str">
        <f>HYPERLINK("RMS Survey MB-41-Sign_Photo.JPG","RMS Survey MB-41-Sign_Photo")</f>
        <v>RMS Survey MB-41-Sign_Photo</v>
      </c>
      <c r="F40" t="str">
        <f>HYPERLINK("RMS Survey MB-41-Location_Photo.JPG","RMS Survey MB-41-Location_Photo")</f>
        <v>RMS Survey MB-41-Location_Photo</v>
      </c>
      <c r="G40"/>
      <c r="H40"/>
      <c r="I40" s="9">
        <v>591937.48</v>
      </c>
      <c r="J40" s="9">
        <v>859535</v>
      </c>
      <c r="K40" t="s">
        <v>46</v>
      </c>
      <c r="L40"/>
    </row>
    <row r="41" spans="1:12" x14ac:dyDescent="0.25">
      <c r="A41" t="s">
        <v>128</v>
      </c>
      <c r="B41" t="s">
        <v>5</v>
      </c>
      <c r="C41" t="s">
        <v>6</v>
      </c>
      <c r="D41">
        <v>2124</v>
      </c>
      <c r="E41" t="str">
        <f>HYPERLINK("RMS Survey MB-42-Sign_Photo.JPG","RMS Survey MB-42-Sign_Photo")</f>
        <v>RMS Survey MB-42-Sign_Photo</v>
      </c>
      <c r="F41" t="str">
        <f>HYPERLINK("RMS Survey MB-42-Location_Photo.JPG","RMS Survey MB-42-Location_Photo")</f>
        <v>RMS Survey MB-42-Location_Photo</v>
      </c>
      <c r="G41"/>
      <c r="H41"/>
      <c r="I41" s="9">
        <v>591942.02</v>
      </c>
      <c r="J41" s="9">
        <v>859539.33</v>
      </c>
      <c r="K41" t="s">
        <v>69</v>
      </c>
      <c r="L41"/>
    </row>
    <row r="42" spans="1:12" x14ac:dyDescent="0.25">
      <c r="A42" t="s">
        <v>130</v>
      </c>
      <c r="B42" t="s">
        <v>5</v>
      </c>
      <c r="C42" t="s">
        <v>6</v>
      </c>
      <c r="D42" t="s">
        <v>131</v>
      </c>
      <c r="E42" t="str">
        <f>HYPERLINK("RMS Survey MB-43-Sign_Photo.JPG","RMS Survey MB-43-Sign_Photo")</f>
        <v>RMS Survey MB-43-Sign_Photo</v>
      </c>
      <c r="F42" t="str">
        <f>HYPERLINK("RMS Survey MB-43-Location_Photo.JPG","RMS Survey MB-43-Location_Photo")</f>
        <v>RMS Survey MB-43-Location_Photo</v>
      </c>
      <c r="G42"/>
      <c r="H42"/>
      <c r="I42" s="9">
        <v>591872.43000000005</v>
      </c>
      <c r="J42" s="9">
        <v>859572.64</v>
      </c>
      <c r="K42" t="s">
        <v>69</v>
      </c>
      <c r="L42"/>
    </row>
    <row r="43" spans="1:12" x14ac:dyDescent="0.25">
      <c r="A43" t="s">
        <v>132</v>
      </c>
      <c r="B43" t="s">
        <v>5</v>
      </c>
      <c r="C43" t="s">
        <v>6</v>
      </c>
      <c r="D43">
        <v>2184</v>
      </c>
      <c r="E43" t="str">
        <f>HYPERLINK("RMS Survey MB-44-Sign_Photo.JPG","RMS Survey MB-44-Sign_Photo")</f>
        <v>RMS Survey MB-44-Sign_Photo</v>
      </c>
      <c r="F43" t="str">
        <f>HYPERLINK("RMS Survey MB-44-Location_Photo.JPG","RMS Survey MB-44-Location_Photo")</f>
        <v>RMS Survey MB-44-Location_Photo</v>
      </c>
      <c r="G43"/>
      <c r="H43"/>
      <c r="I43" s="9">
        <v>591866.39</v>
      </c>
      <c r="J43" s="9">
        <v>859578.78</v>
      </c>
      <c r="K43" t="s">
        <v>23</v>
      </c>
      <c r="L43"/>
    </row>
    <row r="44" spans="1:12" x14ac:dyDescent="0.25">
      <c r="A44" t="s">
        <v>133</v>
      </c>
      <c r="B44" t="s">
        <v>5</v>
      </c>
      <c r="C44" t="s">
        <v>6</v>
      </c>
      <c r="D44" t="s">
        <v>8</v>
      </c>
      <c r="E44" t="str">
        <f>HYPERLINK("RMS Survey MB-45-Sign_Photo.JPG","RMS Survey MB-45-Sign_Photo")</f>
        <v>RMS Survey MB-45-Sign_Photo</v>
      </c>
      <c r="F44" t="str">
        <f>HYPERLINK("RMS Survey MB-45-Location_Photo.JPG","RMS Survey MB-45-Location_Photo")</f>
        <v>RMS Survey MB-45-Location_Photo</v>
      </c>
      <c r="G44"/>
      <c r="H44"/>
      <c r="I44" s="9">
        <v>591861.12</v>
      </c>
      <c r="J44" s="9">
        <v>859589.55</v>
      </c>
      <c r="K44" t="s">
        <v>23</v>
      </c>
      <c r="L44"/>
    </row>
    <row r="45" spans="1:12" x14ac:dyDescent="0.25">
      <c r="A45" t="s">
        <v>135</v>
      </c>
      <c r="B45" t="s">
        <v>5</v>
      </c>
      <c r="C45" t="s">
        <v>6</v>
      </c>
      <c r="D45">
        <v>2186</v>
      </c>
      <c r="E45" t="str">
        <f>HYPERLINK("RMS Survey MB-46-Sign_Photo.JPG","RMS Survey MB-46-Sign_Photo")</f>
        <v>RMS Survey MB-46-Sign_Photo</v>
      </c>
      <c r="F45" t="str">
        <f>HYPERLINK("RMS Survey MB-46-Location_Photo.JPG","RMS Survey MB-46-Location_Photo")</f>
        <v>RMS Survey MB-46-Location_Photo</v>
      </c>
      <c r="G45"/>
      <c r="H45"/>
      <c r="I45" s="9">
        <v>591864.56999999995</v>
      </c>
      <c r="J45" s="9">
        <v>859647.4</v>
      </c>
      <c r="K45" t="s">
        <v>23</v>
      </c>
      <c r="L45"/>
    </row>
    <row r="46" spans="1:12" x14ac:dyDescent="0.25">
      <c r="A46" t="s">
        <v>136</v>
      </c>
      <c r="B46" t="s">
        <v>5</v>
      </c>
      <c r="C46" t="s">
        <v>6</v>
      </c>
      <c r="D46">
        <v>2183</v>
      </c>
      <c r="E46" t="str">
        <f>HYPERLINK("RMS Survey MB-47-Sign_Photo.JPG","RMS Survey MB-47-Sign_Photo")</f>
        <v>RMS Survey MB-47-Sign_Photo</v>
      </c>
      <c r="F46" t="str">
        <f>HYPERLINK("RMS Survey MB-47-Location_Photo.JPG","RMS Survey MB-47-Location_Photo")</f>
        <v>RMS Survey MB-47-Location_Photo</v>
      </c>
      <c r="G46"/>
      <c r="H46"/>
      <c r="I46" s="9">
        <v>591851.36</v>
      </c>
      <c r="J46" s="9">
        <v>859565.08</v>
      </c>
      <c r="K46" t="s">
        <v>23</v>
      </c>
      <c r="L46"/>
    </row>
    <row r="47" spans="1:12" x14ac:dyDescent="0.25">
      <c r="A47" t="s">
        <v>137</v>
      </c>
      <c r="B47" t="s">
        <v>5</v>
      </c>
      <c r="C47" t="s">
        <v>6</v>
      </c>
      <c r="D47" t="s">
        <v>138</v>
      </c>
      <c r="E47" t="str">
        <f>HYPERLINK("RMS Survey MB-48-Sign_Photo.JPG","RMS Survey MB-48-Sign_Photo")</f>
        <v>RMS Survey MB-48-Sign_Photo</v>
      </c>
      <c r="F47" t="str">
        <f>HYPERLINK("RMS Survey MB-48-Location_Photo.JPG","RMS Survey MB-48-Location_Photo")</f>
        <v>RMS Survey MB-48-Location_Photo</v>
      </c>
      <c r="G47"/>
      <c r="H47"/>
      <c r="I47" s="9">
        <v>591854.38</v>
      </c>
      <c r="J47" s="9">
        <v>859563.22</v>
      </c>
      <c r="K47" t="s">
        <v>23</v>
      </c>
      <c r="L47"/>
    </row>
    <row r="48" spans="1:12" x14ac:dyDescent="0.25">
      <c r="A48" t="s">
        <v>140</v>
      </c>
      <c r="B48" t="s">
        <v>5</v>
      </c>
      <c r="C48" t="s">
        <v>6</v>
      </c>
      <c r="D48" t="s">
        <v>141</v>
      </c>
      <c r="E48" t="str">
        <f>HYPERLINK("RMS Survey MB-49-Sign_Photo.JPG","RMS Survey MB-49-Sign_Photo")</f>
        <v>RMS Survey MB-49-Sign_Photo</v>
      </c>
      <c r="F48" t="str">
        <f>HYPERLINK("RMS Survey MB-49-Location_Photo.JPG","RMS Survey MB-49-Location_Photo")</f>
        <v>RMS Survey MB-49-Location_Photo</v>
      </c>
      <c r="G48"/>
      <c r="H48"/>
      <c r="I48" s="9">
        <v>591862.80000000005</v>
      </c>
      <c r="J48" s="9">
        <v>859560.23</v>
      </c>
      <c r="K48" t="s">
        <v>23</v>
      </c>
      <c r="L48"/>
    </row>
    <row r="49" spans="1:12" x14ac:dyDescent="0.25">
      <c r="A49" t="s">
        <v>142</v>
      </c>
      <c r="B49" t="s">
        <v>5</v>
      </c>
      <c r="C49" t="s">
        <v>6</v>
      </c>
      <c r="D49">
        <v>49</v>
      </c>
      <c r="E49" t="str">
        <f>HYPERLINK("RMS Survey MB-50-Sign_Photo.JPG","RMS Survey MB-50-Sign_Photo")</f>
        <v>RMS Survey MB-50-Sign_Photo</v>
      </c>
      <c r="F49" t="str">
        <f>HYPERLINK("RMS Survey MB-50-Location_Photo.JPG","RMS Survey MB-50-Location_Photo")</f>
        <v>RMS Survey MB-50-Location_Photo</v>
      </c>
      <c r="G49"/>
      <c r="H49"/>
      <c r="I49" s="9">
        <v>591851.55000000005</v>
      </c>
      <c r="J49" s="9">
        <v>859546.9</v>
      </c>
      <c r="K49" t="s">
        <v>23</v>
      </c>
      <c r="L49"/>
    </row>
    <row r="50" spans="1:12" x14ac:dyDescent="0.25">
      <c r="A50" t="s">
        <v>144</v>
      </c>
      <c r="B50" t="s">
        <v>5</v>
      </c>
      <c r="C50" t="s">
        <v>6</v>
      </c>
      <c r="D50">
        <v>2185</v>
      </c>
      <c r="E50" t="str">
        <f>HYPERLINK("RMS Survey MB-51-Sign_Photo.JPG","RMS Survey MB-51-Sign_Photo")</f>
        <v>RMS Survey MB-51-Sign_Photo</v>
      </c>
      <c r="F50" t="str">
        <f>HYPERLINK("RMS Survey MB-51-Location_Photo.JPG","RMS Survey MB-51-Location_Photo")</f>
        <v>RMS Survey MB-51-Location_Photo</v>
      </c>
      <c r="G50"/>
      <c r="H50"/>
      <c r="I50" s="9">
        <v>591803.47</v>
      </c>
      <c r="J50" s="9">
        <v>859534.56</v>
      </c>
      <c r="K50" t="s">
        <v>23</v>
      </c>
      <c r="L50"/>
    </row>
    <row r="51" spans="1:12" x14ac:dyDescent="0.25">
      <c r="A51" t="s">
        <v>146</v>
      </c>
      <c r="B51" t="s">
        <v>5</v>
      </c>
      <c r="C51" t="s">
        <v>6</v>
      </c>
      <c r="D51" t="s">
        <v>147</v>
      </c>
      <c r="E51" t="str">
        <f>HYPERLINK("RMS Survey MB-52-Sign_Photo.JPG","RMS Survey MB-52-Sign_Photo")</f>
        <v>RMS Survey MB-52-Sign_Photo</v>
      </c>
      <c r="F51" t="str">
        <f>HYPERLINK("RMS Survey MB-52-Location_Photo.JPG","RMS Survey MB-52-Location_Photo")</f>
        <v>RMS Survey MB-52-Location_Photo</v>
      </c>
      <c r="G51"/>
      <c r="H51"/>
      <c r="I51" s="9">
        <v>591802.27</v>
      </c>
      <c r="J51" s="9">
        <v>859587.05</v>
      </c>
      <c r="K51" t="s">
        <v>46</v>
      </c>
      <c r="L51" t="s">
        <v>148</v>
      </c>
    </row>
    <row r="52" spans="1:12" x14ac:dyDescent="0.25">
      <c r="A52" t="s">
        <v>150</v>
      </c>
      <c r="B52" t="s">
        <v>5</v>
      </c>
      <c r="C52" t="s">
        <v>6</v>
      </c>
      <c r="D52" t="s">
        <v>151</v>
      </c>
      <c r="E52" t="str">
        <f>HYPERLINK("RMS Survey MB-53-Sign_Photo.JPG","RMS Survey MB-53-Sign_Photo")</f>
        <v>RMS Survey MB-53-Sign_Photo</v>
      </c>
      <c r="F52" t="str">
        <f>HYPERLINK("RMS Survey MB-53-Location_Photo.JPG","RMS Survey MB-53-Location_Photo")</f>
        <v>RMS Survey MB-53-Location_Photo</v>
      </c>
      <c r="G52"/>
      <c r="H52"/>
      <c r="I52" s="9">
        <v>591804.42000000004</v>
      </c>
      <c r="J52" s="9">
        <v>859587.6</v>
      </c>
      <c r="K52" t="s">
        <v>46</v>
      </c>
      <c r="L52" t="s">
        <v>148</v>
      </c>
    </row>
    <row r="53" spans="1:12" x14ac:dyDescent="0.25">
      <c r="A53" t="s">
        <v>152</v>
      </c>
      <c r="B53" t="s">
        <v>5</v>
      </c>
      <c r="C53" t="s">
        <v>6</v>
      </c>
      <c r="D53">
        <v>2126</v>
      </c>
      <c r="E53" t="str">
        <f>HYPERLINK("RMS Survey MB-54-Sign_Photo.JPG","RMS Survey MB-54-Sign_Photo")</f>
        <v>RMS Survey MB-54-Sign_Photo</v>
      </c>
      <c r="F53" t="str">
        <f>HYPERLINK("RMS Survey MB-54-Location_Photo.JPG","RMS Survey MB-54-Location_Photo")</f>
        <v>RMS Survey MB-54-Location_Photo</v>
      </c>
      <c r="G53"/>
      <c r="H53"/>
      <c r="I53" s="9">
        <v>591798.51</v>
      </c>
      <c r="J53" s="9">
        <v>859597.45</v>
      </c>
      <c r="K53" t="s">
        <v>46</v>
      </c>
      <c r="L53"/>
    </row>
    <row r="54" spans="1:12" x14ac:dyDescent="0.25">
      <c r="A54" t="s">
        <v>153</v>
      </c>
      <c r="B54" t="s">
        <v>5</v>
      </c>
      <c r="C54" t="s">
        <v>6</v>
      </c>
      <c r="D54">
        <v>2125</v>
      </c>
      <c r="E54" t="str">
        <f>HYPERLINK("RMS Survey MB-55-Sign_Photo.JPG","RMS Survey MB-55-Sign_Photo")</f>
        <v>RMS Survey MB-55-Sign_Photo</v>
      </c>
      <c r="F54" t="str">
        <f>HYPERLINK("RMS Survey MB-55-Location_Photo.JPG","RMS Survey MB-55-Location_Photo")</f>
        <v>RMS Survey MB-55-Location_Photo</v>
      </c>
      <c r="G54"/>
      <c r="H54"/>
      <c r="I54" s="9">
        <v>591773.44999999995</v>
      </c>
      <c r="J54" s="9">
        <v>859596.38</v>
      </c>
      <c r="K54" t="s">
        <v>46</v>
      </c>
      <c r="L54"/>
    </row>
    <row r="55" spans="1:12" x14ac:dyDescent="0.25">
      <c r="A55" t="s">
        <v>154</v>
      </c>
      <c r="B55" t="s">
        <v>5</v>
      </c>
      <c r="C55" t="s">
        <v>6</v>
      </c>
      <c r="D55">
        <v>2189</v>
      </c>
      <c r="E55" t="str">
        <f>HYPERLINK("RMS Survey MB-56-Sign_Photo.JPG","RMS Survey MB-56-Sign_Photo")</f>
        <v>RMS Survey MB-56-Sign_Photo</v>
      </c>
      <c r="F55" t="str">
        <f>HYPERLINK("RMS Survey MB-56-Location_Photo.JPG","RMS Survey MB-56-Location_Photo")</f>
        <v>RMS Survey MB-56-Location_Photo</v>
      </c>
      <c r="G55"/>
      <c r="H55"/>
      <c r="I55" s="9">
        <v>591754.66</v>
      </c>
      <c r="J55" s="9">
        <v>859598.26</v>
      </c>
      <c r="K55" t="s">
        <v>46</v>
      </c>
      <c r="L55"/>
    </row>
    <row r="56" spans="1:12" x14ac:dyDescent="0.25">
      <c r="A56" t="s">
        <v>156</v>
      </c>
      <c r="B56" t="s">
        <v>5</v>
      </c>
      <c r="C56" t="s">
        <v>6</v>
      </c>
      <c r="D56" t="s">
        <v>157</v>
      </c>
      <c r="E56" t="str">
        <f>HYPERLINK("RMS Survey MB-57-Sign_Photo.JPG","RMS Survey MB-57-Sign_Photo")</f>
        <v>RMS Survey MB-57-Sign_Photo</v>
      </c>
      <c r="F56" t="str">
        <f>HYPERLINK("RMS Survey MB-57-Location_Photo.JPG","RMS Survey MB-57-Location_Photo")</f>
        <v>RMS Survey MB-57-Location_Photo</v>
      </c>
      <c r="G56"/>
      <c r="H56"/>
      <c r="I56" s="9">
        <v>591338.16</v>
      </c>
      <c r="J56" s="9">
        <v>859762.8</v>
      </c>
      <c r="K56" t="s">
        <v>46</v>
      </c>
      <c r="L56" t="s">
        <v>158</v>
      </c>
    </row>
    <row r="57" spans="1:12" x14ac:dyDescent="0.25">
      <c r="A57" t="s">
        <v>159</v>
      </c>
      <c r="B57" t="s">
        <v>5</v>
      </c>
      <c r="C57" t="s">
        <v>6</v>
      </c>
      <c r="D57" t="s">
        <v>157</v>
      </c>
      <c r="E57" t="str">
        <f>HYPERLINK("RMS Survey MB-58-Sign_Photo.JPG","RMS Survey MB-58-Sign_Photo")</f>
        <v>RMS Survey MB-58-Sign_Photo</v>
      </c>
      <c r="F57" t="str">
        <f>HYPERLINK("RMS Survey MB-58-Location_Photo.JPG","RMS Survey MB-58-Location_Photo")</f>
        <v>RMS Survey MB-58-Location_Photo</v>
      </c>
      <c r="G57"/>
      <c r="H57"/>
      <c r="I57" s="9">
        <v>591338.16</v>
      </c>
      <c r="J57" s="9">
        <v>859762.8</v>
      </c>
      <c r="K57" t="s">
        <v>46</v>
      </c>
      <c r="L57" t="s">
        <v>160</v>
      </c>
    </row>
    <row r="58" spans="1:12" x14ac:dyDescent="0.25">
      <c r="A58" t="s">
        <v>162</v>
      </c>
      <c r="B58" t="s">
        <v>5</v>
      </c>
      <c r="C58" t="s">
        <v>6</v>
      </c>
      <c r="D58">
        <v>2128</v>
      </c>
      <c r="E58" t="str">
        <f>HYPERLINK("RMS Survey MB-59-Sign_Photo.JPG","RMS Survey MB-59-Sign_Photo")</f>
        <v>RMS Survey MB-59-Sign_Photo</v>
      </c>
      <c r="F58" t="str">
        <f>HYPERLINK("RMS Survey MB-59-Location_Photo.JPG","RMS Survey MB-59-Location_Photo")</f>
        <v>RMS Survey MB-59-Location_Photo</v>
      </c>
      <c r="G58"/>
      <c r="H58"/>
      <c r="I58" s="9">
        <v>591228.71</v>
      </c>
      <c r="J58" s="9">
        <v>859786.18</v>
      </c>
      <c r="K58" t="s">
        <v>69</v>
      </c>
      <c r="L58"/>
    </row>
    <row r="59" spans="1:12" x14ac:dyDescent="0.25">
      <c r="A59" t="s">
        <v>164</v>
      </c>
      <c r="B59" t="s">
        <v>5</v>
      </c>
      <c r="C59" t="s">
        <v>6</v>
      </c>
      <c r="D59">
        <v>2129</v>
      </c>
      <c r="E59" t="str">
        <f>HYPERLINK("RMS Survey MB-60-Sign_Photo.JPG","RMS Survey MB-60-Sign_Photo")</f>
        <v>RMS Survey MB-60-Sign_Photo</v>
      </c>
      <c r="F59" t="str">
        <f>HYPERLINK("RMS Survey MB-60-Location_Photo.JPG","RMS Survey MB-60-Location_Photo")</f>
        <v>RMS Survey MB-60-Location_Photo</v>
      </c>
      <c r="G59"/>
      <c r="H59"/>
      <c r="I59" s="9">
        <v>591177.21</v>
      </c>
      <c r="J59" s="9">
        <v>859791.29</v>
      </c>
      <c r="K59" t="s">
        <v>69</v>
      </c>
      <c r="L59"/>
    </row>
    <row r="60" spans="1:12" x14ac:dyDescent="0.25">
      <c r="A60" t="s">
        <v>166</v>
      </c>
      <c r="B60" t="s">
        <v>5</v>
      </c>
      <c r="C60" t="s">
        <v>6</v>
      </c>
      <c r="D60">
        <v>2130</v>
      </c>
      <c r="E60" t="str">
        <f>HYPERLINK("RMS Survey MB-61-Sign_Photo.JPG","RMS Survey MB-61-Sign_Photo")</f>
        <v>RMS Survey MB-61-Sign_Photo</v>
      </c>
      <c r="F60" t="str">
        <f>HYPERLINK("RMS Survey MB-61-Location_Photo.JPG","RMS Survey MB-61-Location_Photo")</f>
        <v>RMS Survey MB-61-Location_Photo</v>
      </c>
      <c r="G60"/>
      <c r="H60"/>
      <c r="I60" s="9">
        <v>591048.36</v>
      </c>
      <c r="J60" s="9">
        <v>859831.98</v>
      </c>
      <c r="K60" t="s">
        <v>69</v>
      </c>
      <c r="L60"/>
    </row>
    <row r="61" spans="1:12" x14ac:dyDescent="0.25">
      <c r="A61" t="s">
        <v>167</v>
      </c>
      <c r="B61" t="s">
        <v>5</v>
      </c>
      <c r="C61" t="s">
        <v>6</v>
      </c>
      <c r="D61">
        <v>2131</v>
      </c>
      <c r="E61" t="str">
        <f>HYPERLINK("RMS Survey MB-62-Sign_Photo.JPG","RMS Survey MB-62-Sign_Photo")</f>
        <v>RMS Survey MB-62-Sign_Photo</v>
      </c>
      <c r="F61" t="str">
        <f>HYPERLINK("RMS Survey MB-62-Location_Photo.JPG","RMS Survey MB-62-Location_Photo")</f>
        <v>RMS Survey MB-62-Location_Photo</v>
      </c>
      <c r="G61"/>
      <c r="H61"/>
      <c r="I61" s="9">
        <v>591048.36</v>
      </c>
      <c r="J61" s="9">
        <v>859831.98</v>
      </c>
      <c r="K61" t="s">
        <v>69</v>
      </c>
      <c r="L61"/>
    </row>
    <row r="62" spans="1:12" x14ac:dyDescent="0.25">
      <c r="A62" t="s">
        <v>168</v>
      </c>
      <c r="B62" t="s">
        <v>5</v>
      </c>
      <c r="C62" t="s">
        <v>6</v>
      </c>
      <c r="D62">
        <v>2132</v>
      </c>
      <c r="E62" t="str">
        <f>HYPERLINK("RMS Survey MB-63-Sign_Photo.JPG","RMS Survey MB-63-Sign_Photo")</f>
        <v>RMS Survey MB-63-Sign_Photo</v>
      </c>
      <c r="F62" t="str">
        <f>HYPERLINK("RMS Survey MB-63-Location_Photo.JPG","RMS Survey MB-63-Location_Photo")</f>
        <v>RMS Survey MB-63-Location_Photo</v>
      </c>
      <c r="G62"/>
      <c r="H62"/>
      <c r="I62" s="9">
        <v>591044.05000000005</v>
      </c>
      <c r="J62" s="9">
        <v>859834.95</v>
      </c>
      <c r="K62" t="s">
        <v>69</v>
      </c>
      <c r="L62"/>
    </row>
    <row r="63" spans="1:12" x14ac:dyDescent="0.25">
      <c r="A63" t="s">
        <v>169</v>
      </c>
      <c r="B63" t="s">
        <v>5</v>
      </c>
      <c r="C63" t="s">
        <v>6</v>
      </c>
      <c r="D63">
        <v>2133</v>
      </c>
      <c r="E63" t="str">
        <f>HYPERLINK("RMS Survey MB-64-Sign_Photo.JPG","RMS Survey MB-64-Sign_Photo")</f>
        <v>RMS Survey MB-64-Sign_Photo</v>
      </c>
      <c r="F63" t="str">
        <f>HYPERLINK("RMS Survey MB-64-Location_Photo.JPG","RMS Survey MB-64-Location_Photo")</f>
        <v>RMS Survey MB-64-Location_Photo</v>
      </c>
      <c r="G63"/>
      <c r="H63"/>
      <c r="I63" s="9">
        <v>591044.05000000005</v>
      </c>
      <c r="J63" s="9">
        <v>859834.95</v>
      </c>
      <c r="K63" t="s">
        <v>69</v>
      </c>
      <c r="L63"/>
    </row>
    <row r="64" spans="1:12" x14ac:dyDescent="0.25">
      <c r="A64" t="s">
        <v>170</v>
      </c>
      <c r="B64" t="s">
        <v>5</v>
      </c>
      <c r="C64" t="s">
        <v>6</v>
      </c>
      <c r="D64">
        <v>2134</v>
      </c>
      <c r="E64" t="str">
        <f>HYPERLINK("RMS Survey MB-65-Sign_Photo.JPG","RMS Survey MB-65-Sign_Photo")</f>
        <v>RMS Survey MB-65-Sign_Photo</v>
      </c>
      <c r="F64" t="str">
        <f>HYPERLINK("RMS Survey MB-65-Location_Photo.JPG","RMS Survey MB-65-Location_Photo")</f>
        <v>RMS Survey MB-65-Location_Photo</v>
      </c>
      <c r="G64"/>
      <c r="H64"/>
      <c r="I64" s="9">
        <v>591031.31000000006</v>
      </c>
      <c r="J64" s="9">
        <v>859837.39</v>
      </c>
      <c r="K64" t="s">
        <v>69</v>
      </c>
      <c r="L64"/>
    </row>
    <row r="65" spans="1:12" x14ac:dyDescent="0.25">
      <c r="A65" t="s">
        <v>171</v>
      </c>
      <c r="B65" t="s">
        <v>5</v>
      </c>
      <c r="C65" t="s">
        <v>6</v>
      </c>
      <c r="D65">
        <v>2135</v>
      </c>
      <c r="E65" t="str">
        <f>HYPERLINK("RMS Survey MB-66-Sign_Photo.JPG","RMS Survey MB-66-Sign_Photo")</f>
        <v>RMS Survey MB-66-Sign_Photo</v>
      </c>
      <c r="F65" t="str">
        <f>HYPERLINK("RMS Survey MB-66-Location_Photo.JPG","RMS Survey MB-66-Location_Photo")</f>
        <v>RMS Survey MB-66-Location_Photo</v>
      </c>
      <c r="G65"/>
      <c r="H65"/>
      <c r="I65" s="9">
        <v>591031.31000000006</v>
      </c>
      <c r="J65" s="9">
        <v>859837.39</v>
      </c>
      <c r="K65" t="s">
        <v>69</v>
      </c>
      <c r="L65"/>
    </row>
    <row r="66" spans="1:12" x14ac:dyDescent="0.25">
      <c r="A66" t="s">
        <v>172</v>
      </c>
      <c r="B66" t="s">
        <v>5</v>
      </c>
      <c r="C66" t="s">
        <v>6</v>
      </c>
      <c r="D66">
        <v>2136</v>
      </c>
      <c r="E66" t="str">
        <f>HYPERLINK("RMS Survey MB-67-Sign_Photo.JPG","RMS Survey MB-67-Sign_Photo")</f>
        <v>RMS Survey MB-67-Sign_Photo</v>
      </c>
      <c r="F66" t="str">
        <f>HYPERLINK("RMS Survey MB-67-Location_Photo.JPG","RMS Survey MB-67-Location_Photo")</f>
        <v>RMS Survey MB-67-Location_Photo</v>
      </c>
      <c r="G66"/>
      <c r="H66"/>
      <c r="I66" s="9">
        <v>591022.03</v>
      </c>
      <c r="J66" s="9">
        <v>859841.49</v>
      </c>
      <c r="K66" t="s">
        <v>69</v>
      </c>
      <c r="L66"/>
    </row>
    <row r="67" spans="1:12" x14ac:dyDescent="0.25">
      <c r="A67" t="s">
        <v>173</v>
      </c>
      <c r="B67" t="s">
        <v>5</v>
      </c>
      <c r="C67" t="s">
        <v>6</v>
      </c>
      <c r="D67">
        <v>2137</v>
      </c>
      <c r="E67" t="str">
        <f>HYPERLINK("RMS Survey MB-68-Sign_Photo.JPG","RMS Survey MB-68-Sign_Photo")</f>
        <v>RMS Survey MB-68-Sign_Photo</v>
      </c>
      <c r="F67" t="str">
        <f>HYPERLINK("RMS Survey MB-68-Location_Photo.JPG","RMS Survey MB-68-Location_Photo")</f>
        <v>RMS Survey MB-68-Location_Photo</v>
      </c>
      <c r="G67"/>
      <c r="H67"/>
      <c r="I67" s="9">
        <v>591022.03</v>
      </c>
      <c r="J67" s="9">
        <v>859841.49</v>
      </c>
      <c r="K67" t="s">
        <v>69</v>
      </c>
      <c r="L67"/>
    </row>
    <row r="68" spans="1:12" x14ac:dyDescent="0.25">
      <c r="A68" t="s">
        <v>174</v>
      </c>
      <c r="B68" t="s">
        <v>5</v>
      </c>
      <c r="C68" t="s">
        <v>6</v>
      </c>
      <c r="D68">
        <v>2138</v>
      </c>
      <c r="E68" t="str">
        <f>HYPERLINK("RMS Survey MB-69-Sign_Photo.JPG","RMS Survey MB-69-Sign_Photo")</f>
        <v>RMS Survey MB-69-Sign_Photo</v>
      </c>
      <c r="F68" t="str">
        <f>HYPERLINK("RMS Survey MB-69-Location_Photo.JPG","RMS Survey MB-69-Location_Photo")</f>
        <v>RMS Survey MB-69-Location_Photo</v>
      </c>
      <c r="G68"/>
      <c r="H68"/>
      <c r="I68" s="9">
        <v>591013.52</v>
      </c>
      <c r="J68" s="9">
        <v>859850.59</v>
      </c>
      <c r="K68" t="s">
        <v>69</v>
      </c>
      <c r="L68"/>
    </row>
    <row r="69" spans="1:12" x14ac:dyDescent="0.25">
      <c r="A69" t="s">
        <v>176</v>
      </c>
      <c r="B69" t="s">
        <v>5</v>
      </c>
      <c r="C69" t="s">
        <v>6</v>
      </c>
      <c r="D69">
        <v>2139</v>
      </c>
      <c r="E69" t="str">
        <f>HYPERLINK("RMS Survey MB-70-Sign_Photo.JPG","RMS Survey MB-70-Sign_Photo")</f>
        <v>RMS Survey MB-70-Sign_Photo</v>
      </c>
      <c r="F69" t="str">
        <f>HYPERLINK("RMS Survey MB-70-Location_Photo.JPG","RMS Survey MB-70-Location_Photo")</f>
        <v>RMS Survey MB-70-Location_Photo</v>
      </c>
      <c r="G69"/>
      <c r="H69"/>
      <c r="I69" s="9">
        <v>591013.52</v>
      </c>
      <c r="J69" s="9">
        <v>859850.59</v>
      </c>
      <c r="K69" t="s">
        <v>69</v>
      </c>
      <c r="L69"/>
    </row>
    <row r="70" spans="1:12" x14ac:dyDescent="0.25">
      <c r="A70" t="s">
        <v>177</v>
      </c>
      <c r="B70" t="s">
        <v>5</v>
      </c>
      <c r="C70" t="s">
        <v>6</v>
      </c>
      <c r="D70">
        <v>2140</v>
      </c>
      <c r="E70" t="str">
        <f>HYPERLINK("RMS Survey MB-71-Sign_Photo.JPG","RMS Survey MB-71-Sign_Photo")</f>
        <v>RMS Survey MB-71-Sign_Photo</v>
      </c>
      <c r="F70" t="str">
        <f>HYPERLINK("RMS Survey MB-71-Location_Photo.JPG","RMS Survey MB-71-Location_Photo")</f>
        <v>RMS Survey MB-71-Location_Photo</v>
      </c>
      <c r="G70"/>
      <c r="H70"/>
      <c r="I70" s="9">
        <v>591001.11</v>
      </c>
      <c r="J70" s="9">
        <v>859856.55</v>
      </c>
      <c r="K70" t="s">
        <v>69</v>
      </c>
      <c r="L70"/>
    </row>
    <row r="71" spans="1:12" x14ac:dyDescent="0.25">
      <c r="A71" t="s">
        <v>178</v>
      </c>
      <c r="B71" t="s">
        <v>5</v>
      </c>
      <c r="C71" t="s">
        <v>6</v>
      </c>
      <c r="D71">
        <v>2141</v>
      </c>
      <c r="E71" t="str">
        <f>HYPERLINK("RMS Survey MB-72-Sign_Photo.JPG","RMS Survey MB-72-Sign_Photo")</f>
        <v>RMS Survey MB-72-Sign_Photo</v>
      </c>
      <c r="F71" t="str">
        <f>HYPERLINK("RMS Survey MB-72-Location_Photo.JPG","RMS Survey MB-72-Location_Photo")</f>
        <v>RMS Survey MB-72-Location_Photo</v>
      </c>
      <c r="G71"/>
      <c r="H71"/>
      <c r="I71" s="9">
        <v>591001.11</v>
      </c>
      <c r="J71" s="9">
        <v>859856.55</v>
      </c>
      <c r="K71" t="s">
        <v>69</v>
      </c>
      <c r="L71"/>
    </row>
    <row r="72" spans="1:12" x14ac:dyDescent="0.25">
      <c r="A72" t="s">
        <v>179</v>
      </c>
      <c r="B72" t="s">
        <v>5</v>
      </c>
      <c r="C72" t="s">
        <v>6</v>
      </c>
      <c r="D72">
        <v>2143</v>
      </c>
      <c r="E72" t="str">
        <f>HYPERLINK("RMS Survey MB-73-Sign_Photo.JPG","RMS Survey MB-73-Sign_Photo")</f>
        <v>RMS Survey MB-73-Sign_Photo</v>
      </c>
      <c r="F72" t="str">
        <f>HYPERLINK("RMS Survey MB-73-Location_Photo.JPG","RMS Survey MB-73-Location_Photo")</f>
        <v>RMS Survey MB-73-Location_Photo</v>
      </c>
      <c r="G72"/>
      <c r="H72"/>
      <c r="I72" s="9">
        <v>590942.03</v>
      </c>
      <c r="J72" s="9">
        <v>859900.8</v>
      </c>
      <c r="K72" t="s">
        <v>69</v>
      </c>
      <c r="L72" t="s">
        <v>180</v>
      </c>
    </row>
    <row r="73" spans="1:12" x14ac:dyDescent="0.25">
      <c r="A73" t="s">
        <v>181</v>
      </c>
      <c r="B73" t="s">
        <v>5</v>
      </c>
      <c r="C73" t="s">
        <v>6</v>
      </c>
      <c r="D73">
        <v>2145</v>
      </c>
      <c r="E73" t="str">
        <f>HYPERLINK("N3_NW0074-Sign_Photo30.09.15.JPG","N3_NW0074-Sign_Photo30.09.15")</f>
        <v>N3_NW0074-Sign_Photo30.09.15</v>
      </c>
      <c r="F73" t="str">
        <f>HYPERLINK("N3_NW0074-Location_Photo30.09.15.JPG","N3_NW0074-Location_Photo30.09.15")</f>
        <v>N3_NW0074-Location_Photo30.09.15</v>
      </c>
      <c r="G73"/>
      <c r="H73"/>
      <c r="I73" s="9">
        <v>590828.57999999996</v>
      </c>
      <c r="J73" s="9">
        <v>859970.96</v>
      </c>
      <c r="K73" t="s">
        <v>23</v>
      </c>
      <c r="L73"/>
    </row>
    <row r="74" spans="1:12" x14ac:dyDescent="0.25">
      <c r="A74" t="s">
        <v>182</v>
      </c>
      <c r="B74" t="s">
        <v>5</v>
      </c>
      <c r="C74" t="s">
        <v>6</v>
      </c>
      <c r="D74">
        <v>75</v>
      </c>
      <c r="E74" t="str">
        <f>HYPERLINK("RMS Survey MB-76-Sign_Photo.JPG","RMS Survey MB-76-Sign_Photo")</f>
        <v>RMS Survey MB-76-Sign_Photo</v>
      </c>
      <c r="F74" t="str">
        <f>HYPERLINK("RMS Survey MB-76-Location_Photo.JPG","RMS Survey MB-76-Location_Photo")</f>
        <v>RMS Survey MB-76-Location_Photo</v>
      </c>
      <c r="G74"/>
      <c r="H74"/>
      <c r="I74" s="9">
        <v>590823.11</v>
      </c>
      <c r="J74" s="9">
        <v>859937.39</v>
      </c>
      <c r="K74" t="s">
        <v>23</v>
      </c>
      <c r="L74"/>
    </row>
    <row r="75" spans="1:12" x14ac:dyDescent="0.25">
      <c r="A75" t="s">
        <v>183</v>
      </c>
      <c r="B75" t="s">
        <v>5</v>
      </c>
      <c r="C75" t="s">
        <v>6</v>
      </c>
      <c r="D75">
        <v>2187</v>
      </c>
      <c r="E75" t="str">
        <f>HYPERLINK("RMS Survey MB-77-Sign_Photo.JPG","RMS Survey MB-77-Sign_Photo")</f>
        <v>RMS Survey MB-77-Sign_Photo</v>
      </c>
      <c r="F75" t="str">
        <f>HYPERLINK("RMS Survey MB-77-Location_Photo.JPG","RMS Survey MB-77-Location_Photo")</f>
        <v>RMS Survey MB-77-Location_Photo</v>
      </c>
      <c r="G75"/>
      <c r="H75"/>
      <c r="I75" s="9">
        <v>590814.1</v>
      </c>
      <c r="J75" s="9">
        <v>859913.49</v>
      </c>
      <c r="K75" t="s">
        <v>23</v>
      </c>
      <c r="L75"/>
    </row>
    <row r="76" spans="1:12" x14ac:dyDescent="0.25">
      <c r="A76" t="s">
        <v>184</v>
      </c>
      <c r="B76" t="s">
        <v>5</v>
      </c>
      <c r="C76" t="s">
        <v>6</v>
      </c>
      <c r="D76" t="s">
        <v>185</v>
      </c>
      <c r="E76" t="str">
        <f>HYPERLINK("N3_NW0077-Sign_Photo30.09.15.JPG","N3_NW0077-Sign_Photo30.09.15")</f>
        <v>N3_NW0077-Sign_Photo30.09.15</v>
      </c>
      <c r="F76" t="str">
        <f>HYPERLINK("N3_NW0077-Location_Photo30.09.15.JPG","N3_NW0077-Location_Photo30.09.15")</f>
        <v>N3_NW0077-Location_Photo30.09.15</v>
      </c>
      <c r="G76"/>
      <c r="H76"/>
      <c r="I76" s="9">
        <v>590838.39</v>
      </c>
      <c r="J76" s="9">
        <v>859966.66</v>
      </c>
      <c r="K76" t="s">
        <v>23</v>
      </c>
      <c r="L76"/>
    </row>
    <row r="77" spans="1:12" x14ac:dyDescent="0.25">
      <c r="A77" t="s">
        <v>186</v>
      </c>
      <c r="B77" t="s">
        <v>5</v>
      </c>
      <c r="C77" t="s">
        <v>6</v>
      </c>
      <c r="D77" t="s">
        <v>187</v>
      </c>
      <c r="E77" t="str">
        <f>HYPERLINK("N3_NW0078-Sign_Photo30.09.15.JPG","N3_NW0078-Sign_Photo30.09.15")</f>
        <v>N3_NW0078-Sign_Photo30.09.15</v>
      </c>
      <c r="F77" t="str">
        <f>HYPERLINK("N3_NW0078-Location_Photo30.09.15.JPG","N3_NW0078-Location_Photo30.09.15")</f>
        <v>N3_NW0078-Location_Photo30.09.15</v>
      </c>
      <c r="G77"/>
      <c r="H77"/>
      <c r="I77" s="9">
        <v>590828.57999999996</v>
      </c>
      <c r="J77" s="9">
        <v>859970.96</v>
      </c>
      <c r="K77" t="s">
        <v>23</v>
      </c>
      <c r="L77"/>
    </row>
    <row r="78" spans="1:12" x14ac:dyDescent="0.25">
      <c r="A78" t="s">
        <v>188</v>
      </c>
      <c r="B78" t="s">
        <v>5</v>
      </c>
      <c r="C78" t="s">
        <v>6</v>
      </c>
      <c r="D78" t="s">
        <v>189</v>
      </c>
      <c r="E78" t="str">
        <f>HYPERLINK("N3_NW0079-Sign_Photo30.09.15.JPG","N3_NW0079-Sign_Photo30.09.15")</f>
        <v>N3_NW0079-Sign_Photo30.09.15</v>
      </c>
      <c r="F78" t="str">
        <f>HYPERLINK("N3_NW0079-Location_Photo30.09.15.JPG","N3_NW0079-Location_Photo30.09.15")</f>
        <v>N3_NW0079-Location_Photo30.09.15</v>
      </c>
      <c r="G78"/>
      <c r="H78"/>
      <c r="I78" s="9">
        <v>590834.31000000006</v>
      </c>
      <c r="J78" s="9">
        <v>859980.03</v>
      </c>
      <c r="K78" t="s">
        <v>46</v>
      </c>
      <c r="L78"/>
    </row>
    <row r="79" spans="1:12" x14ac:dyDescent="0.25">
      <c r="A79" t="s">
        <v>191</v>
      </c>
      <c r="B79" t="s">
        <v>5</v>
      </c>
      <c r="C79" t="s">
        <v>6</v>
      </c>
      <c r="D79" t="s">
        <v>8</v>
      </c>
      <c r="E79" t="str">
        <f>HYPERLINK("N3_NW0079-1-Sign_Photo30.09.15.JPG","N3_NW0079-1-Sign_Photo30.09.15")</f>
        <v>N3_NW0079-1-Sign_Photo30.09.15</v>
      </c>
      <c r="F79" t="str">
        <f>HYPERLINK("N3_NW0079-1-Location_Photo30.09.15.JPG","N3_NW0079-1-Location_Photo30.09.15")</f>
        <v>N3_NW0079-1-Location_Photo30.09.15</v>
      </c>
      <c r="G79"/>
      <c r="H79"/>
      <c r="I79" s="9">
        <v>590877.11</v>
      </c>
      <c r="J79" s="9">
        <v>859999.79</v>
      </c>
      <c r="K79" t="s">
        <v>46</v>
      </c>
      <c r="L79"/>
    </row>
    <row r="80" spans="1:12" x14ac:dyDescent="0.25">
      <c r="A80" t="s">
        <v>193</v>
      </c>
      <c r="B80" t="s">
        <v>5</v>
      </c>
      <c r="C80" t="s">
        <v>6</v>
      </c>
      <c r="D80">
        <v>2146</v>
      </c>
      <c r="E80" t="str">
        <f>HYPERLINK("N3_NW0080-Sign_Photo30.09.15.JPG","N3_NW0080-Sign_Photo30.09.15")</f>
        <v>N3_NW0080-Sign_Photo30.09.15</v>
      </c>
      <c r="F80" t="str">
        <f>HYPERLINK("N3_NW0080-Location_Photo30.09.15.JPG","N3_NW0080-Location_Photo30.09.15")</f>
        <v>N3_NW0080-Location_Photo30.09.15</v>
      </c>
      <c r="G80"/>
      <c r="H80"/>
      <c r="I80" s="9">
        <v>590766.02</v>
      </c>
      <c r="J80" s="9">
        <v>860007.25</v>
      </c>
      <c r="K80" t="s">
        <v>69</v>
      </c>
      <c r="L80"/>
    </row>
    <row r="81" spans="1:12" x14ac:dyDescent="0.25">
      <c r="A81" t="s">
        <v>194</v>
      </c>
      <c r="B81" t="s">
        <v>5</v>
      </c>
      <c r="C81" t="s">
        <v>6</v>
      </c>
      <c r="D81">
        <v>2195</v>
      </c>
      <c r="E81" t="str">
        <f>HYPERLINK("N3_NW0081-Sign_Photo30.09.15.JPG","N3_NW0081-Sign_Photo30.09.15")</f>
        <v>N3_NW0081-Sign_Photo30.09.15</v>
      </c>
      <c r="F81" t="str">
        <f>HYPERLINK("N3_NW0081-Location_Photo30.09.15.JPG","N3_NW0081-Location_Photo30.09.15")</f>
        <v>N3_NW0081-Location_Photo30.09.15</v>
      </c>
      <c r="G81"/>
      <c r="H81"/>
      <c r="I81" s="9">
        <v>590716.64</v>
      </c>
      <c r="J81" s="9">
        <v>860041.84</v>
      </c>
      <c r="K81" t="s">
        <v>69</v>
      </c>
      <c r="L81" t="s">
        <v>195</v>
      </c>
    </row>
    <row r="82" spans="1:12" x14ac:dyDescent="0.25">
      <c r="A82" t="s">
        <v>198</v>
      </c>
      <c r="B82" t="s">
        <v>5</v>
      </c>
      <c r="C82" t="s">
        <v>6</v>
      </c>
      <c r="D82">
        <v>2147</v>
      </c>
      <c r="E82" t="str">
        <f>HYPERLINK("N3_NW0082-Sign_Photo30.09.15.JPG","N3_NW0082-Sign_Photo30.09.15")</f>
        <v>N3_NW0082-Sign_Photo30.09.15</v>
      </c>
      <c r="F82" t="str">
        <f>HYPERLINK("N3_NW0082-Location_Photo30.09.15.JPG","N3_NW0082-Location_Photo30.09.15")</f>
        <v>N3_NW0082-Location_Photo30.09.15</v>
      </c>
      <c r="G82"/>
      <c r="H82"/>
      <c r="I82" s="9">
        <v>590600.48</v>
      </c>
      <c r="J82" s="9">
        <v>860106.23999999999</v>
      </c>
      <c r="K82" t="s">
        <v>69</v>
      </c>
      <c r="L82"/>
    </row>
    <row r="83" spans="1:12" x14ac:dyDescent="0.25">
      <c r="A83" t="s">
        <v>200</v>
      </c>
      <c r="B83" t="s">
        <v>5</v>
      </c>
      <c r="C83" t="s">
        <v>6</v>
      </c>
      <c r="D83" t="s">
        <v>201</v>
      </c>
      <c r="E83" t="str">
        <f>HYPERLINK("N3_NW0083-Sign_Photo30.09.15.JPG","N3_NW0083-Sign_Photo30.09.15")</f>
        <v>N3_NW0083-Sign_Photo30.09.15</v>
      </c>
      <c r="F83" t="str">
        <f>HYPERLINK("N3_NW0083-Location_Photo30.09.15.JPG","N3_NW0083-Location_Photo30.09.15")</f>
        <v>N3_NW0083-Location_Photo30.09.15</v>
      </c>
      <c r="G83"/>
      <c r="H83"/>
      <c r="I83" s="9">
        <v>590479.68000000005</v>
      </c>
      <c r="J83" s="9">
        <v>860170.3</v>
      </c>
      <c r="K83" t="s">
        <v>69</v>
      </c>
      <c r="L83" t="s">
        <v>202</v>
      </c>
    </row>
    <row r="84" spans="1:12" x14ac:dyDescent="0.25">
      <c r="A84" t="s">
        <v>203</v>
      </c>
      <c r="B84" t="s">
        <v>5</v>
      </c>
      <c r="C84" t="s">
        <v>6</v>
      </c>
      <c r="D84">
        <v>2148</v>
      </c>
      <c r="E84" t="str">
        <f>HYPERLINK("N3_NW0084-1-Sign_Photo30.09.15.JPG","N3_NW0084-1-Sign_Photo30.09.15")</f>
        <v>N3_NW0084-1-Sign_Photo30.09.15</v>
      </c>
      <c r="F84" t="str">
        <f>HYPERLINK("N3_NW0084-1-Location_Photo30.09.15.JPG","N3_NW0084-1-Location_Photo30.09.15")</f>
        <v>N3_NW0084-1-Location_Photo30.09.15</v>
      </c>
      <c r="G84"/>
      <c r="H84"/>
      <c r="I84" s="9">
        <v>589601.62</v>
      </c>
      <c r="J84" s="9">
        <v>860486.94</v>
      </c>
      <c r="K84" t="s">
        <v>69</v>
      </c>
      <c r="L84" t="s">
        <v>195</v>
      </c>
    </row>
    <row r="85" spans="1:12" x14ac:dyDescent="0.25">
      <c r="A85" t="s">
        <v>204</v>
      </c>
      <c r="B85" t="s">
        <v>5</v>
      </c>
      <c r="C85" t="s">
        <v>6</v>
      </c>
      <c r="D85">
        <v>2149</v>
      </c>
      <c r="E85" t="str">
        <f>HYPERLINK("N3_NW0085-Sign_Photo30.09.15.JPG","N3_NW0085-Sign_Photo30.09.15")</f>
        <v>N3_NW0085-Sign_Photo30.09.15</v>
      </c>
      <c r="F85" t="str">
        <f>HYPERLINK("N3_NW0085-Location_Photo30.09.15.JPG","N3_NW0085-Location_Photo30.09.15")</f>
        <v>N3_NW0085-Location_Photo30.09.15</v>
      </c>
      <c r="G85"/>
      <c r="H85"/>
      <c r="I85" s="9">
        <v>589545.22</v>
      </c>
      <c r="J85" s="9">
        <v>860512.11</v>
      </c>
      <c r="K85" t="s">
        <v>46</v>
      </c>
      <c r="L85"/>
    </row>
    <row r="86" spans="1:12" x14ac:dyDescent="0.25">
      <c r="A86" t="s">
        <v>206</v>
      </c>
      <c r="B86" t="s">
        <v>5</v>
      </c>
      <c r="C86" t="s">
        <v>6</v>
      </c>
      <c r="D86" t="s">
        <v>207</v>
      </c>
      <c r="E86" t="str">
        <f>HYPERLINK("N3_NW0086-Sign_Photo30.09.15.JPG","N3_NW0086-Sign_Photo30.09.15")</f>
        <v>N3_NW0086-Sign_Photo30.09.15</v>
      </c>
      <c r="F86" t="str">
        <f>HYPERLINK("N3_NW0086-Location_Photo30.09.15.JPG","N3_NW0086-Location_Photo30.09.15")</f>
        <v>N3_NW0086-Location_Photo30.09.15</v>
      </c>
      <c r="G86"/>
      <c r="H86"/>
      <c r="I86" s="9">
        <v>589512.93999999994</v>
      </c>
      <c r="J86" s="9">
        <v>860515.33</v>
      </c>
      <c r="K86" t="s">
        <v>69</v>
      </c>
      <c r="L86"/>
    </row>
    <row r="87" spans="1:12" x14ac:dyDescent="0.25">
      <c r="A87" t="s">
        <v>208</v>
      </c>
      <c r="B87" t="s">
        <v>5</v>
      </c>
      <c r="C87" t="s">
        <v>6</v>
      </c>
      <c r="D87">
        <v>2150</v>
      </c>
      <c r="E87" t="str">
        <f>HYPERLINK("RMS Survey MB-90-Sign_Photo.JPG","RMS Survey MB-90-Sign_Photo")</f>
        <v>RMS Survey MB-90-Sign_Photo</v>
      </c>
      <c r="F87" t="str">
        <f>HYPERLINK("RMS Survey MB-90-Location_Photo.JPG","RMS Survey MB-90-Location_Photo")</f>
        <v>RMS Survey MB-90-Location_Photo</v>
      </c>
      <c r="G87"/>
      <c r="H87"/>
      <c r="I87" s="9">
        <v>589452.15</v>
      </c>
      <c r="J87" s="9">
        <v>860509.91</v>
      </c>
      <c r="K87" t="s">
        <v>23</v>
      </c>
      <c r="L87"/>
    </row>
    <row r="88" spans="1:12" x14ac:dyDescent="0.25">
      <c r="A88" t="s">
        <v>209</v>
      </c>
      <c r="B88" t="s">
        <v>5</v>
      </c>
      <c r="C88" t="s">
        <v>6</v>
      </c>
      <c r="D88">
        <v>88</v>
      </c>
      <c r="E88" t="str">
        <f>HYPERLINK("RMS Survey MB-91-Sign_Photo.JPG","RMS Survey MB-91-Sign_Photo")</f>
        <v>RMS Survey MB-91-Sign_Photo</v>
      </c>
      <c r="F88" t="str">
        <f>HYPERLINK("RMS Survey MB-91-Location_Photo.JPG","RMS Survey MB-91-Location_Photo")</f>
        <v>RMS Survey MB-91-Location_Photo</v>
      </c>
      <c r="G88"/>
      <c r="H88"/>
      <c r="I88" s="9">
        <v>589444.66</v>
      </c>
      <c r="J88" s="9">
        <v>860493.42</v>
      </c>
      <c r="K88" t="s">
        <v>9</v>
      </c>
      <c r="L88"/>
    </row>
    <row r="89" spans="1:12" x14ac:dyDescent="0.25">
      <c r="A89" t="s">
        <v>210</v>
      </c>
      <c r="B89" t="s">
        <v>5</v>
      </c>
      <c r="C89" t="s">
        <v>6</v>
      </c>
      <c r="D89">
        <v>2188</v>
      </c>
      <c r="E89" t="str">
        <f>HYPERLINK("RMS Survey MB-92-Sign_Photo.JPG","RMS Survey MB-92-Sign_Photo")</f>
        <v>RMS Survey MB-92-Sign_Photo</v>
      </c>
      <c r="F89" t="str">
        <f>HYPERLINK("RMS Survey MB-92-Location_Photo.JPG","RMS Survey MB-92-Location_Photo")</f>
        <v>RMS Survey MB-92-Location_Photo</v>
      </c>
      <c r="G89"/>
      <c r="H89"/>
      <c r="I89" s="9">
        <v>589434.25</v>
      </c>
      <c r="J89" s="9">
        <v>860425.2</v>
      </c>
      <c r="K89" t="s">
        <v>23</v>
      </c>
      <c r="L89"/>
    </row>
    <row r="90" spans="1:12" x14ac:dyDescent="0.25">
      <c r="A90" t="s">
        <v>211</v>
      </c>
      <c r="B90" t="s">
        <v>5</v>
      </c>
      <c r="C90" t="s">
        <v>6</v>
      </c>
      <c r="D90" t="s">
        <v>212</v>
      </c>
      <c r="E90" t="str">
        <f>HYPERLINK("RMS Survey MB-93-Sign_Photo.JPG","RMS Survey MB-93-Sign_Photo")</f>
        <v>RMS Survey MB-93-Sign_Photo</v>
      </c>
      <c r="F90" t="str">
        <f>HYPERLINK("RMS Survey MB-93-Location_Photo.JPG","RMS Survey MB-93-Location_Photo")</f>
        <v>RMS Survey MB-93-Location_Photo</v>
      </c>
      <c r="G90"/>
      <c r="H90"/>
      <c r="I90" s="9">
        <v>589464.16</v>
      </c>
      <c r="J90" s="9">
        <v>860522.31</v>
      </c>
      <c r="K90" t="s">
        <v>23</v>
      </c>
      <c r="L90"/>
    </row>
    <row r="91" spans="1:12" x14ac:dyDescent="0.25">
      <c r="A91" t="s">
        <v>213</v>
      </c>
      <c r="B91" t="s">
        <v>5</v>
      </c>
      <c r="C91" t="s">
        <v>6</v>
      </c>
      <c r="D91" t="s">
        <v>214</v>
      </c>
      <c r="E91" t="str">
        <f>HYPERLINK("RMS Survey MB-94-Sign_Photo.JPG","RMS Survey MB-94-Sign_Photo")</f>
        <v>RMS Survey MB-94-Sign_Photo</v>
      </c>
      <c r="F91" t="str">
        <f>HYPERLINK("RMS Survey MB-94-Location_Photo.JPG","RMS Survey MB-94-Location_Photo")</f>
        <v>RMS Survey MB-94-Location_Photo</v>
      </c>
      <c r="G91"/>
      <c r="H91"/>
      <c r="I91" s="9">
        <v>589446.98</v>
      </c>
      <c r="J91" s="9">
        <v>860518.45</v>
      </c>
      <c r="K91" t="s">
        <v>23</v>
      </c>
      <c r="L91"/>
    </row>
    <row r="92" spans="1:12" x14ac:dyDescent="0.25">
      <c r="A92" t="s">
        <v>215</v>
      </c>
      <c r="B92" t="s">
        <v>5</v>
      </c>
      <c r="C92" t="s">
        <v>6</v>
      </c>
      <c r="D92" t="s">
        <v>216</v>
      </c>
      <c r="E92" t="str">
        <f>HYPERLINK("RMS Survey MB-95-Sign_Photo.JPG","RMS Survey MB-95-Sign_Photo")</f>
        <v>RMS Survey MB-95-Sign_Photo</v>
      </c>
      <c r="F92" t="str">
        <f>HYPERLINK("RMS Survey MB-95-Location_Photo.JPG","RMS Survey MB-95-Location_Photo")</f>
        <v>RMS Survey MB-95-Location_Photo</v>
      </c>
      <c r="G92"/>
      <c r="H92"/>
      <c r="I92" s="9">
        <v>589463.43000000005</v>
      </c>
      <c r="J92" s="9">
        <v>860533.81</v>
      </c>
      <c r="K92" t="s">
        <v>23</v>
      </c>
      <c r="L92"/>
    </row>
    <row r="93" spans="1:12" x14ac:dyDescent="0.25">
      <c r="A93" t="s">
        <v>217</v>
      </c>
      <c r="B93" t="s">
        <v>5</v>
      </c>
      <c r="C93" t="s">
        <v>6</v>
      </c>
      <c r="D93">
        <v>2151</v>
      </c>
      <c r="E93" t="str">
        <f>HYPERLINK("N3_NW0093-Sign_Photo30.09.15.JPG","N3_NW0093-Sign_Photo30.09.15")</f>
        <v>N3_NW0093-Sign_Photo30.09.15</v>
      </c>
      <c r="F93" t="str">
        <f>HYPERLINK("N3_NW0093-Location_Photo30.09.15.JPG","N3_NW0093-Location_Photo30.09.15")</f>
        <v>N3_NW0093-Location_Photo30.09.15</v>
      </c>
      <c r="G93"/>
      <c r="H93"/>
      <c r="I93" s="9">
        <v>589369.68999999994</v>
      </c>
      <c r="J93" s="9">
        <v>860521.97</v>
      </c>
      <c r="K93" t="s">
        <v>69</v>
      </c>
      <c r="L93"/>
    </row>
    <row r="94" spans="1:12" x14ac:dyDescent="0.25">
      <c r="A94" t="s">
        <v>218</v>
      </c>
      <c r="B94" t="s">
        <v>5</v>
      </c>
      <c r="C94" t="s">
        <v>6</v>
      </c>
      <c r="D94">
        <v>2152</v>
      </c>
      <c r="E94" t="str">
        <f>HYPERLINK("N3_NW0094-Sign_Photo30.09.15.JPG","N3_NW0094-Sign_Photo30.09.15")</f>
        <v>N3_NW0094-Sign_Photo30.09.15</v>
      </c>
      <c r="F94" t="str">
        <f>HYPERLINK("N3_NW0094-Location_Photo30.09.15.JPG","N3_NW0094-Location_Photo30.09.15")</f>
        <v>N3_NW0094-Location_Photo30.09.15</v>
      </c>
      <c r="G94"/>
      <c r="H94"/>
      <c r="I94" s="9">
        <v>589359.13</v>
      </c>
      <c r="J94" s="9">
        <v>860531.64</v>
      </c>
      <c r="K94" t="s">
        <v>69</v>
      </c>
      <c r="L94"/>
    </row>
    <row r="95" spans="1:12" x14ac:dyDescent="0.25">
      <c r="A95" t="s">
        <v>219</v>
      </c>
      <c r="B95" t="s">
        <v>5</v>
      </c>
      <c r="C95" t="s">
        <v>6</v>
      </c>
      <c r="D95" t="s">
        <v>220</v>
      </c>
      <c r="E95" t="str">
        <f>HYPERLINK("N3_NW0095-Sign_Photo30.09.15.JPG","N3_NW0095-Sign_Photo30.09.15")</f>
        <v>N3_NW0095-Sign_Photo30.09.15</v>
      </c>
      <c r="F95" t="str">
        <f>HYPERLINK("N3_NW0095-Location_Photo30.09.15.JPG","N3_NW0095-Location_Photo30.09.15")</f>
        <v>N3_NW0095-Location_Photo30.09.15</v>
      </c>
      <c r="G95"/>
      <c r="H95"/>
      <c r="I95" s="9">
        <v>589308.73</v>
      </c>
      <c r="J95" s="9">
        <v>860538.62</v>
      </c>
      <c r="K95" t="s">
        <v>69</v>
      </c>
      <c r="L95" t="s">
        <v>195</v>
      </c>
    </row>
    <row r="96" spans="1:12" x14ac:dyDescent="0.25">
      <c r="A96" t="s">
        <v>222</v>
      </c>
      <c r="B96" t="s">
        <v>5</v>
      </c>
      <c r="C96" t="s">
        <v>6</v>
      </c>
      <c r="D96">
        <v>2153</v>
      </c>
      <c r="E96" t="str">
        <f>HYPERLINK("RMS Survey MB-101-Sign_Photo.JPG","RMS Survey MB-101-Sign_Photo")</f>
        <v>RMS Survey MB-101-Sign_Photo</v>
      </c>
      <c r="F96" t="str">
        <f>HYPERLINK("RMS Survey MB-101-Location_Photo.JPG","RMS Survey MB-101-Location_Photo")</f>
        <v>RMS Survey MB-101-Location_Photo</v>
      </c>
      <c r="G96"/>
      <c r="H96"/>
      <c r="I96" s="9">
        <v>588975.34</v>
      </c>
      <c r="J96" s="9">
        <v>860717.09</v>
      </c>
      <c r="K96" t="s">
        <v>46</v>
      </c>
      <c r="L96"/>
    </row>
    <row r="97" spans="1:12" x14ac:dyDescent="0.25">
      <c r="A97" t="s">
        <v>226</v>
      </c>
      <c r="B97" t="s">
        <v>5</v>
      </c>
      <c r="C97" t="s">
        <v>6</v>
      </c>
      <c r="D97">
        <v>2154</v>
      </c>
      <c r="E97" t="str">
        <f>HYPERLINK("RMS Survey MB-102-Sign_Photo.JPG","RMS Survey MB-102-Sign_Photo")</f>
        <v>RMS Survey MB-102-Sign_Photo</v>
      </c>
      <c r="F97" t="str">
        <f>HYPERLINK("RMS Survey MB-102-Location_Photo.JPG","RMS Survey MB-102-Location_Photo")</f>
        <v>RMS Survey MB-102-Location_Photo</v>
      </c>
      <c r="G97"/>
      <c r="H97"/>
      <c r="I97" s="9">
        <v>588974.13</v>
      </c>
      <c r="J97" s="9">
        <v>860709.49</v>
      </c>
      <c r="K97" t="s">
        <v>46</v>
      </c>
      <c r="L97"/>
    </row>
    <row r="98" spans="1:12" x14ac:dyDescent="0.25">
      <c r="A98" t="s">
        <v>228</v>
      </c>
      <c r="B98" t="s">
        <v>5</v>
      </c>
      <c r="C98" t="s">
        <v>6</v>
      </c>
      <c r="D98">
        <v>2155</v>
      </c>
      <c r="E98" t="str">
        <f>HYPERLINK("RMS Survey MB-103-Sign_Photo.JPG","RMS Survey MB-103-Sign_Photo")</f>
        <v>RMS Survey MB-103-Sign_Photo</v>
      </c>
      <c r="F98" t="str">
        <f>HYPERLINK("RMS Survey MB-103-Location_Photo.JPG","RMS Survey MB-103-Location_Photo")</f>
        <v>RMS Survey MB-103-Location_Photo</v>
      </c>
      <c r="G98"/>
      <c r="H98"/>
      <c r="I98" s="9">
        <v>588977.5</v>
      </c>
      <c r="J98" s="9">
        <v>860720.05</v>
      </c>
      <c r="K98" t="s">
        <v>46</v>
      </c>
      <c r="L98"/>
    </row>
    <row r="99" spans="1:12" x14ac:dyDescent="0.25">
      <c r="A99" t="s">
        <v>230</v>
      </c>
      <c r="B99" t="s">
        <v>5</v>
      </c>
      <c r="C99" t="s">
        <v>6</v>
      </c>
      <c r="D99">
        <v>2156</v>
      </c>
      <c r="E99" t="str">
        <f>HYPERLINK("RMS Survey MB-104-Sign_Photo.JPG","RMS Survey MB-104-Sign_Photo")</f>
        <v>RMS Survey MB-104-Sign_Photo</v>
      </c>
      <c r="F99" t="str">
        <f>HYPERLINK("RMS Survey MB-104-Location_Photo.JPG","RMS Survey MB-104-Location_Photo")</f>
        <v>RMS Survey MB-104-Location_Photo</v>
      </c>
      <c r="G99"/>
      <c r="H99"/>
      <c r="I99" s="9">
        <v>588977.5</v>
      </c>
      <c r="J99" s="9">
        <v>860720.05</v>
      </c>
      <c r="K99" t="s">
        <v>69</v>
      </c>
      <c r="L99"/>
    </row>
    <row r="100" spans="1:12" x14ac:dyDescent="0.25">
      <c r="A100" t="s">
        <v>231</v>
      </c>
      <c r="B100" t="s">
        <v>5</v>
      </c>
      <c r="C100" t="s">
        <v>6</v>
      </c>
      <c r="D100" t="s">
        <v>232</v>
      </c>
      <c r="E100" t="str">
        <f>HYPERLINK("RMS Survey MB-105-Sign_Photo.JPG","RMS Survey MB-105-Sign_Photo")</f>
        <v>RMS Survey MB-105-Sign_Photo</v>
      </c>
      <c r="F100" t="str">
        <f>HYPERLINK("RMS Survey MB-105-Location_Photo.JPG","RMS Survey MB-105-Location_Photo")</f>
        <v>RMS Survey MB-105-Location_Photo</v>
      </c>
      <c r="G100"/>
      <c r="H100"/>
      <c r="I100" s="9">
        <v>588946.37</v>
      </c>
      <c r="J100" s="9">
        <v>860746.83</v>
      </c>
      <c r="K100" t="s">
        <v>69</v>
      </c>
      <c r="L100"/>
    </row>
    <row r="101" spans="1:12" x14ac:dyDescent="0.25">
      <c r="A101" t="s">
        <v>234</v>
      </c>
      <c r="B101" t="s">
        <v>5</v>
      </c>
      <c r="C101" t="s">
        <v>6</v>
      </c>
      <c r="D101">
        <v>2157</v>
      </c>
      <c r="E101" t="str">
        <f>HYPERLINK("RMS Survey MB-106-Sign_Photo.JPG","RMS Survey MB-106-Sign_Photo")</f>
        <v>RMS Survey MB-106-Sign_Photo</v>
      </c>
      <c r="F101" t="str">
        <f>HYPERLINK("RMS Survey MB-106-Location_Photo.JPG","RMS Survey MB-106-Location_Photo")</f>
        <v>RMS Survey MB-106-Location_Photo</v>
      </c>
      <c r="G101"/>
      <c r="H101"/>
      <c r="I101" s="9">
        <v>588700.34</v>
      </c>
      <c r="J101" s="9">
        <v>860926.6</v>
      </c>
      <c r="K101" t="s">
        <v>69</v>
      </c>
      <c r="L101"/>
    </row>
    <row r="102" spans="1:12" x14ac:dyDescent="0.25">
      <c r="A102" t="s">
        <v>236</v>
      </c>
      <c r="B102" t="s">
        <v>5</v>
      </c>
      <c r="C102" t="s">
        <v>6</v>
      </c>
      <c r="D102">
        <v>2196</v>
      </c>
      <c r="E102" t="str">
        <f>HYPERLINK("RMS Survey MB-107-Sign_Photo.JPG","RMS Survey MB-107-Sign_Photo")</f>
        <v>RMS Survey MB-107-Sign_Photo</v>
      </c>
      <c r="F102" t="str">
        <f>HYPERLINK("RMS Survey MB-107-Location_Photo.JPG","RMS Survey MB-107-Location_Photo")</f>
        <v>RMS Survey MB-107-Location_Photo</v>
      </c>
      <c r="G102"/>
      <c r="H102"/>
      <c r="I102" s="9">
        <v>588577.19999999995</v>
      </c>
      <c r="J102" s="9">
        <v>861028.72</v>
      </c>
      <c r="K102" t="s">
        <v>69</v>
      </c>
      <c r="L102"/>
    </row>
    <row r="103" spans="1:12" x14ac:dyDescent="0.25">
      <c r="A103" t="s">
        <v>237</v>
      </c>
      <c r="B103" t="s">
        <v>5</v>
      </c>
      <c r="C103" t="s">
        <v>6</v>
      </c>
      <c r="D103">
        <v>2198</v>
      </c>
      <c r="E103" t="str">
        <f>HYPERLINK("RMS Survey MB-108-Sign_Photo.JPG","RMS Survey MB-108-Sign_Photo")</f>
        <v>RMS Survey MB-108-Sign_Photo</v>
      </c>
      <c r="F103" t="str">
        <f>HYPERLINK("RMS Survey MB-108-Location_Photo.JPG","RMS Survey MB-108-Location_Photo")</f>
        <v>RMS Survey MB-108-Location_Photo</v>
      </c>
      <c r="G103"/>
      <c r="H103"/>
      <c r="I103" s="9">
        <v>588534.77</v>
      </c>
      <c r="J103" s="9">
        <v>861066.84</v>
      </c>
      <c r="K103" t="s">
        <v>46</v>
      </c>
      <c r="L103"/>
    </row>
    <row r="104" spans="1:12" x14ac:dyDescent="0.25">
      <c r="A104" t="s">
        <v>240</v>
      </c>
      <c r="B104" t="s">
        <v>5</v>
      </c>
      <c r="C104" t="s">
        <v>6</v>
      </c>
      <c r="D104" t="s">
        <v>241</v>
      </c>
      <c r="E104" t="str">
        <f>HYPERLINK("RMS Survey MB-109-Sign_Photo.JPG","RMS Survey MB-109-Sign_Photo")</f>
        <v>RMS Survey MB-109-Sign_Photo</v>
      </c>
      <c r="F104" t="str">
        <f>HYPERLINK("RMS Survey MB-109-Location_Photo.JPG","RMS Survey MB-109-Location_Photo")</f>
        <v>RMS Survey MB-109-Location_Photo</v>
      </c>
      <c r="G104"/>
      <c r="H104"/>
      <c r="I104" s="9">
        <v>588518.93000000005</v>
      </c>
      <c r="J104" s="9">
        <v>861078.2</v>
      </c>
      <c r="K104" t="s">
        <v>69</v>
      </c>
      <c r="L104"/>
    </row>
    <row r="105" spans="1:12" x14ac:dyDescent="0.25">
      <c r="A105" t="s">
        <v>242</v>
      </c>
      <c r="B105" t="s">
        <v>5</v>
      </c>
      <c r="C105" t="s">
        <v>6</v>
      </c>
      <c r="D105">
        <v>2159</v>
      </c>
      <c r="E105" t="str">
        <f>HYPERLINK("RMS Survey MB-110-Sign_Photo.JPG","RMS Survey MB-110-Sign_Photo")</f>
        <v>RMS Survey MB-110-Sign_Photo</v>
      </c>
      <c r="F105" t="str">
        <f>HYPERLINK("RMS Survey MB-110-Location_Photo.JPG","RMS Survey MB-110-Location_Photo")</f>
        <v>RMS Survey MB-110-Location_Photo</v>
      </c>
      <c r="G105"/>
      <c r="H105"/>
      <c r="I105" s="9">
        <v>588515.80000000005</v>
      </c>
      <c r="J105" s="9">
        <v>861078.4</v>
      </c>
      <c r="K105" t="s">
        <v>46</v>
      </c>
      <c r="L105"/>
    </row>
    <row r="106" spans="1:12" x14ac:dyDescent="0.25">
      <c r="A106" t="s">
        <v>244</v>
      </c>
      <c r="B106" t="s">
        <v>5</v>
      </c>
      <c r="C106" t="s">
        <v>6</v>
      </c>
      <c r="D106">
        <v>2160</v>
      </c>
      <c r="E106" t="str">
        <f>HYPERLINK("RMS Survey MB-111-Sign_Photo.JPG","RMS Survey MB-111-Sign_Photo")</f>
        <v>RMS Survey MB-111-Sign_Photo</v>
      </c>
      <c r="F106" t="str">
        <f>HYPERLINK("RMS Survey MB-111-Location_Photo.JPG","RMS Survey MB-111-Location_Photo")</f>
        <v>RMS Survey MB-111-Location_Photo</v>
      </c>
      <c r="G106"/>
      <c r="H106"/>
      <c r="I106" s="9">
        <v>588524.35</v>
      </c>
      <c r="J106" s="9">
        <v>861087.09</v>
      </c>
      <c r="K106" t="s">
        <v>69</v>
      </c>
      <c r="L106"/>
    </row>
    <row r="107" spans="1:12" x14ac:dyDescent="0.25">
      <c r="A107" t="s">
        <v>245</v>
      </c>
      <c r="B107" t="s">
        <v>5</v>
      </c>
      <c r="C107" t="s">
        <v>6</v>
      </c>
      <c r="D107">
        <v>2161</v>
      </c>
      <c r="E107" t="str">
        <f>HYPERLINK("RMS Survey MB-112-Sign_Photo.JPG","RMS Survey MB-112-Sign_Photo")</f>
        <v>RMS Survey MB-112-Sign_Photo</v>
      </c>
      <c r="F107" t="str">
        <f>HYPERLINK("RMS Survey MB-112-Location_Photo.JPG","RMS Survey MB-112-Location_Photo")</f>
        <v>RMS Survey MB-112-Location_Photo</v>
      </c>
      <c r="G107"/>
      <c r="H107"/>
      <c r="I107" s="9">
        <v>588525.86</v>
      </c>
      <c r="J107" s="9">
        <v>861087.08</v>
      </c>
      <c r="K107" t="s">
        <v>69</v>
      </c>
      <c r="L107"/>
    </row>
    <row r="108" spans="1:12" x14ac:dyDescent="0.25">
      <c r="A108" t="s">
        <v>246</v>
      </c>
      <c r="B108" t="s">
        <v>5</v>
      </c>
      <c r="C108" t="s">
        <v>6</v>
      </c>
      <c r="D108">
        <v>2199</v>
      </c>
      <c r="E108" t="str">
        <f>HYPERLINK("RMS Survey MB-113-Sign_Photo.JPG","RMS Survey MB-113-Sign_Photo")</f>
        <v>RMS Survey MB-113-Sign_Photo</v>
      </c>
      <c r="F108" t="str">
        <f>HYPERLINK("RMS Survey MB-113-Location_Photo.JPG","RMS Survey MB-113-Location_Photo")</f>
        <v>RMS Survey MB-113-Location_Photo</v>
      </c>
      <c r="G108" t="str">
        <f>HYPERLINK("RMS Survey MB-113-Add1Photo.JPG","RMS Survey MB-113-Add1Photo")</f>
        <v>RMS Survey MB-113-Add1Photo</v>
      </c>
      <c r="H108"/>
      <c r="I108" s="9">
        <v>588492.4</v>
      </c>
      <c r="J108" s="9">
        <v>861089.39</v>
      </c>
      <c r="K108" t="s">
        <v>248</v>
      </c>
      <c r="L108"/>
    </row>
    <row r="109" spans="1:12" x14ac:dyDescent="0.25">
      <c r="A109" t="s">
        <v>251</v>
      </c>
      <c r="B109" t="s">
        <v>5</v>
      </c>
      <c r="C109" t="s">
        <v>6</v>
      </c>
      <c r="D109" t="s">
        <v>252</v>
      </c>
      <c r="E109" t="str">
        <f>HYPERLINK("RMS Survey MB-114-Sign_Photo.JPG","RMS Survey MB-114-Sign_Photo")</f>
        <v>RMS Survey MB-114-Sign_Photo</v>
      </c>
      <c r="F109" t="str">
        <f>HYPERLINK("RMS Survey MB-114-Location_Photo.JPG","RMS Survey MB-114-Location_Photo")</f>
        <v>RMS Survey MB-114-Location_Photo</v>
      </c>
      <c r="G109"/>
      <c r="H109"/>
      <c r="I109" s="9">
        <v>588496.21</v>
      </c>
      <c r="J109" s="9">
        <v>861100.14</v>
      </c>
      <c r="K109" t="s">
        <v>253</v>
      </c>
      <c r="L109"/>
    </row>
    <row r="110" spans="1:12" x14ac:dyDescent="0.25">
      <c r="A110" t="s">
        <v>254</v>
      </c>
      <c r="B110" t="s">
        <v>5</v>
      </c>
      <c r="C110" t="s">
        <v>6</v>
      </c>
      <c r="D110" t="s">
        <v>255</v>
      </c>
      <c r="E110" t="str">
        <f>HYPERLINK("RMS Survey MB-115-Sign_Photo.JPG","RMS Survey MB-115-Sign_Photo")</f>
        <v>RMS Survey MB-115-Sign_Photo</v>
      </c>
      <c r="F110" t="str">
        <f>HYPERLINK("RMS Survey MB-115-Location_Photo.JPG","RMS Survey MB-115-Location_Photo")</f>
        <v>RMS Survey MB-115-Location_Photo</v>
      </c>
      <c r="G110"/>
      <c r="H110"/>
      <c r="I110" s="9">
        <v>588484.78</v>
      </c>
      <c r="J110" s="9">
        <v>861106.85</v>
      </c>
      <c r="K110" t="s">
        <v>248</v>
      </c>
      <c r="L110"/>
    </row>
    <row r="111" spans="1:12" x14ac:dyDescent="0.25">
      <c r="A111" t="s">
        <v>256</v>
      </c>
      <c r="B111" t="s">
        <v>5</v>
      </c>
      <c r="C111" t="s">
        <v>6</v>
      </c>
      <c r="D111" t="s">
        <v>257</v>
      </c>
      <c r="E111" t="str">
        <f>HYPERLINK("RMS Survey MB-116-Sign_Photo.JPG","RMS Survey MB-116-Sign_Photo")</f>
        <v>RMS Survey MB-116-Sign_Photo</v>
      </c>
      <c r="F111" t="str">
        <f>HYPERLINK("RMS Survey MB-116-Location_Photo.JPG","RMS Survey MB-116-Location_Photo")</f>
        <v>RMS Survey MB-116-Location_Photo</v>
      </c>
      <c r="G111"/>
      <c r="H111"/>
      <c r="I111" s="9">
        <v>588484.78</v>
      </c>
      <c r="J111" s="9">
        <v>861106.85</v>
      </c>
      <c r="K111" t="s">
        <v>248</v>
      </c>
      <c r="L111"/>
    </row>
    <row r="112" spans="1:12" x14ac:dyDescent="0.25">
      <c r="A112" t="s">
        <v>258</v>
      </c>
      <c r="B112" t="s">
        <v>5</v>
      </c>
      <c r="C112" t="s">
        <v>6</v>
      </c>
      <c r="D112" t="s">
        <v>257</v>
      </c>
      <c r="E112" t="str">
        <f>HYPERLINK("RMS Survey MB-117-Sign_Photo.JPG","RMS Survey MB-117-Sign_Photo")</f>
        <v>RMS Survey MB-117-Sign_Photo</v>
      </c>
      <c r="F112" t="str">
        <f>HYPERLINK("RMS Survey MB-117-Location_Photo.JPG","RMS Survey MB-117-Location_Photo")</f>
        <v>RMS Survey MB-117-Location_Photo</v>
      </c>
      <c r="G112"/>
      <c r="H112"/>
      <c r="I112" s="9">
        <v>588484.78</v>
      </c>
      <c r="J112" s="9">
        <v>861106.85</v>
      </c>
      <c r="K112" t="s">
        <v>248</v>
      </c>
      <c r="L112"/>
    </row>
    <row r="113" spans="1:12" x14ac:dyDescent="0.25">
      <c r="A113" t="s">
        <v>260</v>
      </c>
      <c r="B113" t="s">
        <v>5</v>
      </c>
      <c r="C113" t="s">
        <v>6</v>
      </c>
      <c r="D113" t="s">
        <v>261</v>
      </c>
      <c r="E113" t="str">
        <f>HYPERLINK("RMS Survey MB-118-Sign_Photo.JPG","RMS Survey MB-118-Sign_Photo")</f>
        <v>RMS Survey MB-118-Sign_Photo</v>
      </c>
      <c r="F113" t="str">
        <f>HYPERLINK("RMS Survey MB-118-Location_Photo.JPG","RMS Survey MB-118-Location_Photo")</f>
        <v>RMS Survey MB-118-Location_Photo</v>
      </c>
      <c r="G113"/>
      <c r="H113"/>
      <c r="I113" s="9">
        <v>588477.63</v>
      </c>
      <c r="J113" s="9">
        <v>861099.08</v>
      </c>
      <c r="K113" t="s">
        <v>248</v>
      </c>
      <c r="L113"/>
    </row>
    <row r="114" spans="1:12" x14ac:dyDescent="0.25">
      <c r="A114" t="s">
        <v>262</v>
      </c>
      <c r="B114" t="s">
        <v>5</v>
      </c>
      <c r="C114" t="s">
        <v>6</v>
      </c>
      <c r="D114" t="s">
        <v>263</v>
      </c>
      <c r="E114" t="str">
        <f>HYPERLINK("RMS Survey MB-119-Sign_Photo.JPG","RMS Survey MB-119-Sign_Photo")</f>
        <v>RMS Survey MB-119-Sign_Photo</v>
      </c>
      <c r="F114" t="str">
        <f>HYPERLINK("RMS Survey MB-119-Location_Photo.JPG","RMS Survey MB-119-Location_Photo")</f>
        <v>RMS Survey MB-119-Location_Photo</v>
      </c>
      <c r="G114"/>
      <c r="H114"/>
      <c r="I114" s="9">
        <v>588477.63</v>
      </c>
      <c r="J114" s="9">
        <v>861099.08</v>
      </c>
      <c r="K114" t="s">
        <v>248</v>
      </c>
      <c r="L114"/>
    </row>
    <row r="115" spans="1:12" x14ac:dyDescent="0.25">
      <c r="A115" t="s">
        <v>264</v>
      </c>
      <c r="B115" t="s">
        <v>5</v>
      </c>
      <c r="C115" t="s">
        <v>6</v>
      </c>
      <c r="D115" t="s">
        <v>263</v>
      </c>
      <c r="E115" t="str">
        <f>HYPERLINK("RMS Survey MB-120-Sign_Photo.JPG","RMS Survey MB-120-Sign_Photo")</f>
        <v>RMS Survey MB-120-Sign_Photo</v>
      </c>
      <c r="F115" t="str">
        <f>HYPERLINK("RMS Survey MB-120-Location_Photo.JPG","RMS Survey MB-120-Location_Photo")</f>
        <v>RMS Survey MB-120-Location_Photo</v>
      </c>
      <c r="G115"/>
      <c r="H115"/>
      <c r="I115" s="9">
        <v>588477.63</v>
      </c>
      <c r="J115" s="9">
        <v>861099.08</v>
      </c>
      <c r="K115" t="s">
        <v>248</v>
      </c>
      <c r="L115"/>
    </row>
    <row r="116" spans="1:12" x14ac:dyDescent="0.25">
      <c r="A116" t="s">
        <v>265</v>
      </c>
      <c r="B116" t="s">
        <v>5</v>
      </c>
      <c r="C116" t="s">
        <v>6</v>
      </c>
      <c r="D116" t="s">
        <v>266</v>
      </c>
      <c r="E116" t="str">
        <f>HYPERLINK("RMS Survey MB-121-Sign_Photo.JPG","RMS Survey MB-121-Sign_Photo")</f>
        <v>RMS Survey MB-121-Sign_Photo</v>
      </c>
      <c r="F116" t="str">
        <f>HYPERLINK("RMS Survey MB-121-Location_Photo.JPG","RMS Survey MB-121-Location_Photo")</f>
        <v>RMS Survey MB-121-Location_Photo</v>
      </c>
      <c r="G116"/>
      <c r="H116"/>
      <c r="I116" s="9">
        <v>588479.6</v>
      </c>
      <c r="J116" s="9">
        <v>861107.98</v>
      </c>
      <c r="K116" t="s">
        <v>248</v>
      </c>
      <c r="L116"/>
    </row>
    <row r="117" spans="1:12" x14ac:dyDescent="0.25">
      <c r="A117" t="s">
        <v>267</v>
      </c>
      <c r="B117" t="s">
        <v>5</v>
      </c>
      <c r="C117" t="s">
        <v>6</v>
      </c>
      <c r="D117" t="s">
        <v>268</v>
      </c>
      <c r="E117" t="str">
        <f>HYPERLINK("RMS Survey MB-122-Sign_Photo.JPG","RMS Survey MB-122-Sign_Photo")</f>
        <v>RMS Survey MB-122-Sign_Photo</v>
      </c>
      <c r="F117" t="str">
        <f>HYPERLINK("RMS Survey MB-122-Location_Photo.JPG","RMS Survey MB-122-Location_Photo")</f>
        <v>RMS Survey MB-122-Location_Photo</v>
      </c>
      <c r="G117"/>
      <c r="H117"/>
      <c r="I117" s="9">
        <v>588479.6</v>
      </c>
      <c r="J117" s="9">
        <v>861107.98</v>
      </c>
      <c r="K117" t="s">
        <v>248</v>
      </c>
      <c r="L117"/>
    </row>
    <row r="118" spans="1:12" x14ac:dyDescent="0.25">
      <c r="A118" t="s">
        <v>269</v>
      </c>
      <c r="B118" t="s">
        <v>5</v>
      </c>
      <c r="C118" t="s">
        <v>6</v>
      </c>
      <c r="D118" t="s">
        <v>268</v>
      </c>
      <c r="E118" t="str">
        <f>HYPERLINK("RMS Survey MB-123-Sign_Photo.JPG","RMS Survey MB-123-Sign_Photo")</f>
        <v>RMS Survey MB-123-Sign_Photo</v>
      </c>
      <c r="F118" t="str">
        <f>HYPERLINK("RMS Survey MB-123-Location_Photo.JPG","RMS Survey MB-123-Location_Photo")</f>
        <v>RMS Survey MB-123-Location_Photo</v>
      </c>
      <c r="G118"/>
      <c r="H118"/>
      <c r="I118" s="9">
        <v>588479.6</v>
      </c>
      <c r="J118" s="9">
        <v>861107.98</v>
      </c>
      <c r="K118" t="s">
        <v>248</v>
      </c>
      <c r="L118"/>
    </row>
    <row r="119" spans="1:12" x14ac:dyDescent="0.25">
      <c r="A119" t="s">
        <v>270</v>
      </c>
      <c r="B119" t="s">
        <v>5</v>
      </c>
      <c r="C119" t="s">
        <v>6</v>
      </c>
      <c r="D119" t="s">
        <v>271</v>
      </c>
      <c r="E119" t="str">
        <f>HYPERLINK("RMS Survey MB-124-Sign_Photo.JPG","RMS Survey MB-124-Sign_Photo")</f>
        <v>RMS Survey MB-124-Sign_Photo</v>
      </c>
      <c r="F119" t="str">
        <f>HYPERLINK("RMS Survey MB-124-Location_Photo.JPG","RMS Survey MB-124-Location_Photo")</f>
        <v>RMS Survey MB-124-Location_Photo</v>
      </c>
      <c r="G119"/>
      <c r="H119"/>
      <c r="I119" s="9">
        <v>588412.11</v>
      </c>
      <c r="J119" s="9">
        <v>861012.07</v>
      </c>
      <c r="K119" t="s">
        <v>23</v>
      </c>
      <c r="L119"/>
    </row>
    <row r="120" spans="1:12" x14ac:dyDescent="0.25">
      <c r="A120" t="s">
        <v>272</v>
      </c>
      <c r="B120" t="s">
        <v>5</v>
      </c>
      <c r="C120" t="s">
        <v>6</v>
      </c>
      <c r="D120">
        <v>2204</v>
      </c>
      <c r="E120" t="str">
        <f>HYPERLINK("RMS Survey MB-125-Sign_Photo.JPG","RMS Survey MB-125-Sign_Photo")</f>
        <v>RMS Survey MB-125-Sign_Photo</v>
      </c>
      <c r="F120" t="str">
        <f>HYPERLINK("RMS Survey MB-125-Location_Photo.JPG","RMS Survey MB-125-Location_Photo")</f>
        <v>RMS Survey MB-125-Location_Photo</v>
      </c>
      <c r="G120"/>
      <c r="H120"/>
      <c r="I120" s="9">
        <v>588422.72</v>
      </c>
      <c r="J120" s="9">
        <v>861024.47</v>
      </c>
      <c r="K120" t="s">
        <v>23</v>
      </c>
      <c r="L120"/>
    </row>
    <row r="121" spans="1:12" x14ac:dyDescent="0.25">
      <c r="A121" t="s">
        <v>273</v>
      </c>
      <c r="B121" t="s">
        <v>5</v>
      </c>
      <c r="C121" t="s">
        <v>6</v>
      </c>
      <c r="D121" t="s">
        <v>8</v>
      </c>
      <c r="E121" t="str">
        <f>HYPERLINK("RMS Survey MB-126-Sign_Photo.JPG","RMS Survey MB-126-Sign_Photo")</f>
        <v>RMS Survey MB-126-Sign_Photo</v>
      </c>
      <c r="F121" t="str">
        <f>HYPERLINK("RMS Survey MB-126-Location_Photo.JPG","RMS Survey MB-126-Location_Photo")</f>
        <v>RMS Survey MB-126-Location_Photo</v>
      </c>
      <c r="G121"/>
      <c r="H121"/>
      <c r="I121" s="9">
        <v>588465.68000000005</v>
      </c>
      <c r="J121" s="9">
        <v>861066.65</v>
      </c>
      <c r="K121" t="s">
        <v>23</v>
      </c>
      <c r="L121"/>
    </row>
    <row r="122" spans="1:12" x14ac:dyDescent="0.25">
      <c r="A122" t="s">
        <v>276</v>
      </c>
      <c r="B122" t="s">
        <v>5</v>
      </c>
      <c r="C122" t="s">
        <v>6</v>
      </c>
      <c r="D122" t="s">
        <v>8</v>
      </c>
      <c r="E122" t="str">
        <f>HYPERLINK("RMS Survey MB-127-Sign_Photo.JPG","RMS Survey MB-127-Sign_Photo")</f>
        <v>RMS Survey MB-127-Sign_Photo</v>
      </c>
      <c r="F122" t="str">
        <f>HYPERLINK("RMS Survey MB-127-Location_Photo.JPG","RMS Survey MB-127-Location_Photo")</f>
        <v>RMS Survey MB-127-Location_Photo</v>
      </c>
      <c r="G122"/>
      <c r="H122"/>
      <c r="I122" s="9">
        <v>588465.68000000005</v>
      </c>
      <c r="J122" s="9">
        <v>861066.65</v>
      </c>
      <c r="K122" t="s">
        <v>9</v>
      </c>
      <c r="L122"/>
    </row>
    <row r="123" spans="1:12" x14ac:dyDescent="0.25">
      <c r="A123" t="s">
        <v>278</v>
      </c>
      <c r="B123" t="s">
        <v>5</v>
      </c>
      <c r="C123" t="s">
        <v>6</v>
      </c>
      <c r="D123">
        <v>2205</v>
      </c>
      <c r="E123" t="str">
        <f>HYPERLINK("RMS Survey MB-128-Sign_Photo.JPG","RMS Survey MB-128-Sign_Photo")</f>
        <v>RMS Survey MB-128-Sign_Photo</v>
      </c>
      <c r="F123" t="str">
        <f>HYPERLINK("RMS Survey MB-128-Location_Photo.JPG","RMS Survey MB-128-Location_Photo")</f>
        <v>RMS Survey MB-128-Location_Photo</v>
      </c>
      <c r="G123"/>
      <c r="H123"/>
      <c r="I123" s="9">
        <v>588463.92000000004</v>
      </c>
      <c r="J123" s="9">
        <v>861095.22</v>
      </c>
      <c r="K123" t="s">
        <v>46</v>
      </c>
      <c r="L123"/>
    </row>
    <row r="124" spans="1:12" x14ac:dyDescent="0.25">
      <c r="A124" t="s">
        <v>279</v>
      </c>
      <c r="B124" t="s">
        <v>5</v>
      </c>
      <c r="C124" t="s">
        <v>6</v>
      </c>
      <c r="D124" t="s">
        <v>280</v>
      </c>
      <c r="E124" t="str">
        <f>HYPERLINK("RMS Survey MB-129-Sign_Photo.JPG","RMS Survey MB-129-Sign_Photo")</f>
        <v>RMS Survey MB-129-Sign_Photo</v>
      </c>
      <c r="F124" t="str">
        <f>HYPERLINK("RMS Survey MB-129-Location_Photo.JPG","RMS Survey MB-129-Location_Photo")</f>
        <v>RMS Survey MB-129-Location_Photo</v>
      </c>
      <c r="G124"/>
      <c r="H124"/>
      <c r="I124" s="9">
        <v>588472.43000000005</v>
      </c>
      <c r="J124" s="9">
        <v>861088.52</v>
      </c>
      <c r="K124" t="s">
        <v>281</v>
      </c>
      <c r="L124"/>
    </row>
    <row r="125" spans="1:12" x14ac:dyDescent="0.25">
      <c r="A125" t="s">
        <v>282</v>
      </c>
      <c r="B125" t="s">
        <v>5</v>
      </c>
      <c r="C125" t="s">
        <v>6</v>
      </c>
      <c r="D125" t="s">
        <v>8</v>
      </c>
      <c r="E125" t="str">
        <f>HYPERLINK("RMS Survey MB-130-Sign_Photo.JPG","RMS Survey MB-130-Sign_Photo")</f>
        <v>RMS Survey MB-130-Sign_Photo</v>
      </c>
      <c r="F125" t="str">
        <f>HYPERLINK("RMS Survey MB-130-Location_Photo.JPG","RMS Survey MB-130-Location_Photo")</f>
        <v>RMS Survey MB-130-Location_Photo</v>
      </c>
      <c r="G125"/>
      <c r="H125"/>
      <c r="I125" s="9">
        <v>588471.13</v>
      </c>
      <c r="J125" s="9">
        <v>861088.52</v>
      </c>
      <c r="K125" t="s">
        <v>281</v>
      </c>
      <c r="L125"/>
    </row>
    <row r="126" spans="1:12" x14ac:dyDescent="0.25">
      <c r="A126" t="s">
        <v>285</v>
      </c>
      <c r="B126" t="s">
        <v>5</v>
      </c>
      <c r="C126" t="s">
        <v>6</v>
      </c>
      <c r="D126" t="s">
        <v>8</v>
      </c>
      <c r="E126" t="str">
        <f>HYPERLINK("RMS Survey MB-131-Sign_Photo.JPG","RMS Survey MB-131-Sign_Photo")</f>
        <v>RMS Survey MB-131-Sign_Photo</v>
      </c>
      <c r="F126" t="str">
        <f>HYPERLINK("RMS Survey MB-131-Location_Photo.JPG","RMS Survey MB-131-Location_Photo")</f>
        <v>RMS Survey MB-131-Location_Photo</v>
      </c>
      <c r="G126"/>
      <c r="H126"/>
      <c r="I126" s="9">
        <v>588471.13</v>
      </c>
      <c r="J126" s="9">
        <v>861088.52</v>
      </c>
      <c r="K126" t="s">
        <v>281</v>
      </c>
      <c r="L126" t="s">
        <v>286</v>
      </c>
    </row>
    <row r="127" spans="1:12" x14ac:dyDescent="0.25">
      <c r="A127" t="s">
        <v>289</v>
      </c>
      <c r="B127" t="s">
        <v>5</v>
      </c>
      <c r="C127" t="s">
        <v>6</v>
      </c>
      <c r="D127">
        <v>2208</v>
      </c>
      <c r="E127" t="str">
        <f>HYPERLINK("RMS Survey MB-132-Sign_Photo.JPG","RMS Survey MB-132-Sign_Photo")</f>
        <v>RMS Survey MB-132-Sign_Photo</v>
      </c>
      <c r="F127" t="str">
        <f>HYPERLINK("RMS Survey MB-132-Location_Photo.JPG","RMS Survey MB-132-Location_Photo")</f>
        <v>RMS Survey MB-132-Location_Photo</v>
      </c>
      <c r="G127"/>
      <c r="H127"/>
      <c r="I127" s="9">
        <v>588350.48</v>
      </c>
      <c r="J127" s="9">
        <v>861185.45</v>
      </c>
      <c r="K127" t="s">
        <v>247</v>
      </c>
      <c r="L127"/>
    </row>
    <row r="128" spans="1:12" x14ac:dyDescent="0.25">
      <c r="A128" t="s">
        <v>290</v>
      </c>
      <c r="B128" t="s">
        <v>5</v>
      </c>
      <c r="C128" t="s">
        <v>6</v>
      </c>
      <c r="D128" t="s">
        <v>291</v>
      </c>
      <c r="E128" t="str">
        <f>HYPERLINK("RMS Survey MB-134-Sign_Photo.JPG","RMS Survey MB-134-Sign_Photo")</f>
        <v>RMS Survey MB-134-Sign_Photo</v>
      </c>
      <c r="F128" t="str">
        <f>HYPERLINK("RMS Survey MB-134-Location_Photo.JPG","RMS Survey MB-134-Location_Photo")</f>
        <v>RMS Survey MB-134-Location_Photo</v>
      </c>
      <c r="G128"/>
      <c r="H128"/>
      <c r="I128" s="9">
        <v>588431.66</v>
      </c>
      <c r="J128" s="9">
        <v>861144.26</v>
      </c>
      <c r="K128" t="s">
        <v>46</v>
      </c>
      <c r="L128"/>
    </row>
    <row r="129" spans="1:12" x14ac:dyDescent="0.25">
      <c r="A129" t="s">
        <v>292</v>
      </c>
      <c r="B129" t="s">
        <v>5</v>
      </c>
      <c r="C129" t="s">
        <v>6</v>
      </c>
      <c r="D129" t="s">
        <v>8</v>
      </c>
      <c r="E129" t="str">
        <f>HYPERLINK("RMS Survey MB-135-Sign_Photo.JPG","RMS Survey MB-135-Sign_Photo")</f>
        <v>RMS Survey MB-135-Sign_Photo</v>
      </c>
      <c r="F129" t="str">
        <f>HYPERLINK("RMS Survey MB-135-Location_Photo.JPG","RMS Survey MB-135-Location_Photo")</f>
        <v>RMS Survey MB-135-Location_Photo</v>
      </c>
      <c r="G129"/>
      <c r="H129"/>
      <c r="I129" s="9">
        <v>588449.89</v>
      </c>
      <c r="J129" s="9">
        <v>861142.55</v>
      </c>
      <c r="K129" t="s">
        <v>69</v>
      </c>
      <c r="L129"/>
    </row>
    <row r="130" spans="1:12" x14ac:dyDescent="0.25">
      <c r="A130" t="s">
        <v>293</v>
      </c>
      <c r="B130" t="s">
        <v>5</v>
      </c>
      <c r="C130" t="s">
        <v>6</v>
      </c>
      <c r="D130">
        <v>2210</v>
      </c>
      <c r="E130" t="str">
        <f>HYPERLINK("RMS Survey MB-136-Sign_Photo.JPG","RMS Survey MB-136-Sign_Photo")</f>
        <v>RMS Survey MB-136-Sign_Photo</v>
      </c>
      <c r="F130" t="str">
        <f>HYPERLINK("RMS Survey MB-136-Location_Photo.JPG","RMS Survey MB-136-Location_Photo")</f>
        <v>RMS Survey MB-136-Location_Photo</v>
      </c>
      <c r="G130"/>
      <c r="H130"/>
      <c r="I130" s="9">
        <v>588474.03</v>
      </c>
      <c r="J130" s="9">
        <v>861124.3</v>
      </c>
      <c r="K130" t="s">
        <v>46</v>
      </c>
      <c r="L130"/>
    </row>
    <row r="131" spans="1:12" x14ac:dyDescent="0.25">
      <c r="A131" t="s">
        <v>294</v>
      </c>
      <c r="B131" t="s">
        <v>5</v>
      </c>
      <c r="C131" t="s">
        <v>6</v>
      </c>
      <c r="D131" t="s">
        <v>295</v>
      </c>
      <c r="E131" t="str">
        <f>HYPERLINK("RMS Survey MB-137-Sign_Photo.JPG","RMS Survey MB-137-Sign_Photo")</f>
        <v>RMS Survey MB-137-Sign_Photo</v>
      </c>
      <c r="F131" t="str">
        <f>HYPERLINK("RMS Survey MB-137-Location_Photo.JPG","RMS Survey MB-137-Location_Photo")</f>
        <v>RMS Survey MB-137-Location_Photo</v>
      </c>
      <c r="G131"/>
      <c r="H131"/>
      <c r="I131" s="9">
        <v>588469.37</v>
      </c>
      <c r="J131" s="9">
        <v>861116.35</v>
      </c>
      <c r="K131" t="s">
        <v>281</v>
      </c>
      <c r="L131"/>
    </row>
    <row r="132" spans="1:12" x14ac:dyDescent="0.25">
      <c r="A132" t="s">
        <v>296</v>
      </c>
      <c r="B132" t="s">
        <v>5</v>
      </c>
      <c r="C132" t="s">
        <v>6</v>
      </c>
      <c r="D132" t="s">
        <v>8</v>
      </c>
      <c r="E132" t="str">
        <f>HYPERLINK("RMS Survey MB-138-Sign_Photo.JPG","RMS Survey MB-138-Sign_Photo")</f>
        <v>RMS Survey MB-138-Sign_Photo</v>
      </c>
      <c r="F132" t="str">
        <f>HYPERLINK("RMS Survey MB-138-Location_Photo.JPG","RMS Survey MB-138-Location_Photo")</f>
        <v>RMS Survey MB-138-Location_Photo</v>
      </c>
      <c r="G132"/>
      <c r="H132"/>
      <c r="I132" s="9">
        <v>588142.56000000006</v>
      </c>
      <c r="J132" s="9">
        <v>861223.08</v>
      </c>
      <c r="K132" t="s">
        <v>297</v>
      </c>
      <c r="L132"/>
    </row>
    <row r="133" spans="1:12" x14ac:dyDescent="0.25">
      <c r="A133" t="s">
        <v>298</v>
      </c>
      <c r="B133" t="s">
        <v>5</v>
      </c>
      <c r="C133" t="s">
        <v>6</v>
      </c>
      <c r="D133" t="s">
        <v>8</v>
      </c>
      <c r="E133" t="str">
        <f>HYPERLINK("RMS Survey MB-140-Sign_Photo.JPG","RMS Survey MB-140-Sign_Photo")</f>
        <v>RMS Survey MB-140-Sign_Photo</v>
      </c>
      <c r="F133" t="str">
        <f>HYPERLINK("RMS Survey MB-140-Location_Photo.JPG","RMS Survey MB-140-Location_Photo")</f>
        <v>RMS Survey MB-140-Location_Photo</v>
      </c>
      <c r="G133"/>
      <c r="H133"/>
      <c r="I133" s="9">
        <v>588153.81000000006</v>
      </c>
      <c r="J133" s="9">
        <v>861234.55</v>
      </c>
      <c r="K133" t="s">
        <v>69</v>
      </c>
      <c r="L133"/>
    </row>
    <row r="134" spans="1:12" x14ac:dyDescent="0.25">
      <c r="A134" t="s">
        <v>299</v>
      </c>
      <c r="B134" t="s">
        <v>5</v>
      </c>
      <c r="C134" t="s">
        <v>6</v>
      </c>
      <c r="D134" t="s">
        <v>300</v>
      </c>
      <c r="E134" t="str">
        <f>HYPERLINK("RMS Survey MB-141-Sign_Photo.JPG","RMS Survey MB-141-Sign_Photo")</f>
        <v>RMS Survey MB-141-Sign_Photo</v>
      </c>
      <c r="F134" t="str">
        <f>HYPERLINK("RMS Survey MB-141-Location_Photo.JPG","RMS Survey MB-141-Location_Photo")</f>
        <v>RMS Survey MB-141-Location_Photo</v>
      </c>
      <c r="G134"/>
      <c r="H134"/>
      <c r="I134" s="9">
        <v>588056.29</v>
      </c>
      <c r="J134" s="9">
        <v>861255.39</v>
      </c>
      <c r="K134" t="s">
        <v>23</v>
      </c>
      <c r="L134"/>
    </row>
    <row r="135" spans="1:12" x14ac:dyDescent="0.25">
      <c r="A135" t="s">
        <v>301</v>
      </c>
      <c r="B135" t="s">
        <v>5</v>
      </c>
      <c r="C135" t="s">
        <v>6</v>
      </c>
      <c r="D135" t="s">
        <v>302</v>
      </c>
      <c r="E135" t="str">
        <f>HYPERLINK("RMS Survey MB-142-Sign_Photo.JPG","RMS Survey MB-142-Sign_Photo")</f>
        <v>RMS Survey MB-142-Sign_Photo</v>
      </c>
      <c r="F135" t="str">
        <f>HYPERLINK("RMS Survey MB-142-Location_Photo.JPG","RMS Survey MB-142-Location_Photo")</f>
        <v>RMS Survey MB-142-Location_Photo</v>
      </c>
      <c r="G135"/>
      <c r="H135"/>
      <c r="I135" s="9">
        <v>588027.05000000005</v>
      </c>
      <c r="J135" s="9">
        <v>861262.32</v>
      </c>
      <c r="K135" t="s">
        <v>303</v>
      </c>
      <c r="L135"/>
    </row>
    <row r="136" spans="1:12" x14ac:dyDescent="0.25">
      <c r="A136" t="s">
        <v>305</v>
      </c>
      <c r="B136" t="s">
        <v>5</v>
      </c>
      <c r="C136" t="s">
        <v>6</v>
      </c>
      <c r="D136" t="s">
        <v>306</v>
      </c>
      <c r="E136"/>
      <c r="F136"/>
      <c r="G136"/>
      <c r="H136"/>
      <c r="I136" s="9">
        <v>588052.77</v>
      </c>
      <c r="J136" s="9">
        <v>861272.27</v>
      </c>
      <c r="K136" t="s">
        <v>46</v>
      </c>
      <c r="L136"/>
    </row>
    <row r="137" spans="1:12" x14ac:dyDescent="0.25">
      <c r="A137" t="s">
        <v>307</v>
      </c>
      <c r="B137" t="s">
        <v>5</v>
      </c>
      <c r="C137" t="s">
        <v>6</v>
      </c>
      <c r="D137" t="s">
        <v>8</v>
      </c>
      <c r="E137" t="str">
        <f>HYPERLINK("RMS Survey MB-144-Sign_Photo.JPG","RMS Survey MB-144-Sign_Photo")</f>
        <v>RMS Survey MB-144-Sign_Photo</v>
      </c>
      <c r="F137" t="str">
        <f>HYPERLINK("RMS Survey MB-144-Location_Photo.JPG","RMS Survey MB-144-Location_Photo")</f>
        <v>RMS Survey MB-144-Location_Photo</v>
      </c>
      <c r="G137"/>
      <c r="H137"/>
      <c r="I137" s="9">
        <v>588033.74</v>
      </c>
      <c r="J137" s="9">
        <v>861261.38</v>
      </c>
      <c r="K137" t="s">
        <v>23</v>
      </c>
      <c r="L137"/>
    </row>
    <row r="138" spans="1:12" x14ac:dyDescent="0.25">
      <c r="A138" t="s">
        <v>308</v>
      </c>
      <c r="B138" t="s">
        <v>5</v>
      </c>
      <c r="C138" t="s">
        <v>6</v>
      </c>
      <c r="D138" t="s">
        <v>8</v>
      </c>
      <c r="E138" t="str">
        <f>HYPERLINK("RMS Survey MB-145-Sign_Photo.JPG","RMS Survey MB-145-Sign_Photo")</f>
        <v>RMS Survey MB-145-Sign_Photo</v>
      </c>
      <c r="F138" t="str">
        <f>HYPERLINK("RMS Survey MB-145-Location_Photo.JPG","RMS Survey MB-145-Location_Photo")</f>
        <v>RMS Survey MB-145-Location_Photo</v>
      </c>
      <c r="G138"/>
      <c r="H138"/>
      <c r="I138" s="9">
        <v>588043.32999999996</v>
      </c>
      <c r="J138" s="9">
        <v>861254.87</v>
      </c>
      <c r="K138" t="s">
        <v>281</v>
      </c>
      <c r="L138"/>
    </row>
    <row r="139" spans="1:12" x14ac:dyDescent="0.25">
      <c r="A139" t="s">
        <v>309</v>
      </c>
      <c r="B139" t="s">
        <v>5</v>
      </c>
      <c r="C139" t="s">
        <v>6</v>
      </c>
      <c r="D139" t="s">
        <v>8</v>
      </c>
      <c r="E139" t="str">
        <f>HYPERLINK("RMS Survey MB-146-Sign_Photo.JPG","RMS Survey MB-146-Sign_Photo")</f>
        <v>RMS Survey MB-146-Sign_Photo</v>
      </c>
      <c r="F139" t="str">
        <f>HYPERLINK("RMS Survey MB-146-Location_Photo.JPG","RMS Survey MB-146-Location_Photo")</f>
        <v>RMS Survey MB-146-Location_Photo</v>
      </c>
      <c r="G139"/>
      <c r="H139"/>
      <c r="I139" s="9">
        <v>588046.04</v>
      </c>
      <c r="J139" s="9">
        <v>861259.49</v>
      </c>
      <c r="K139" t="s">
        <v>253</v>
      </c>
      <c r="L139"/>
    </row>
    <row r="140" spans="1:12" x14ac:dyDescent="0.25">
      <c r="A140" t="s">
        <v>311</v>
      </c>
      <c r="B140" t="s">
        <v>5</v>
      </c>
      <c r="C140" t="s">
        <v>6</v>
      </c>
      <c r="D140" t="s">
        <v>8</v>
      </c>
      <c r="E140" t="str">
        <f>HYPERLINK("RMS Survey MB-147-Sign_Photo.JPG","RMS Survey MB-147-Sign_Photo")</f>
        <v>RMS Survey MB-147-Sign_Photo</v>
      </c>
      <c r="F140" t="str">
        <f>HYPERLINK("RMS Survey MB-147-Location_Photo.JPG","RMS Survey MB-147-Location_Photo")</f>
        <v>RMS Survey MB-147-Location_Photo</v>
      </c>
      <c r="G140"/>
      <c r="H140"/>
      <c r="I140" s="9">
        <v>588061.49</v>
      </c>
      <c r="J140" s="9">
        <v>861264.84</v>
      </c>
      <c r="K140" t="s">
        <v>253</v>
      </c>
      <c r="L140"/>
    </row>
    <row r="141" spans="1:12" x14ac:dyDescent="0.25">
      <c r="A141" t="s">
        <v>312</v>
      </c>
      <c r="B141" t="s">
        <v>5</v>
      </c>
      <c r="C141" t="s">
        <v>6</v>
      </c>
      <c r="D141" t="s">
        <v>8</v>
      </c>
      <c r="E141" t="str">
        <f>HYPERLINK("RMS Survey MB-148-Sign_Photo.JPG","RMS Survey MB-148-Sign_Photo")</f>
        <v>RMS Survey MB-148-Sign_Photo</v>
      </c>
      <c r="F141" t="str">
        <f>HYPERLINK("RMS Survey MB-148-Location_Photo.JPG","RMS Survey MB-148-Location_Photo")</f>
        <v>RMS Survey MB-148-Location_Photo</v>
      </c>
      <c r="G141"/>
      <c r="H141"/>
      <c r="I141" s="9">
        <v>588067.31999999995</v>
      </c>
      <c r="J141" s="9">
        <v>861262.78</v>
      </c>
      <c r="K141" t="s">
        <v>253</v>
      </c>
      <c r="L141"/>
    </row>
    <row r="142" spans="1:12" x14ac:dyDescent="0.25">
      <c r="A142" t="s">
        <v>313</v>
      </c>
      <c r="B142" t="s">
        <v>5</v>
      </c>
      <c r="C142" t="s">
        <v>6</v>
      </c>
      <c r="D142" t="s">
        <v>8</v>
      </c>
      <c r="E142" t="str">
        <f>HYPERLINK("RMS Survey MB-149-Sign_Photo.JPG","RMS Survey MB-149-Sign_Photo")</f>
        <v>RMS Survey MB-149-Sign_Photo</v>
      </c>
      <c r="F142" t="str">
        <f>HYPERLINK("RMS Survey MB-149-Location_Photo.JPG","RMS Survey MB-149-Location_Photo")</f>
        <v>RMS Survey MB-149-Location_Photo</v>
      </c>
      <c r="G142"/>
      <c r="H142"/>
      <c r="I142" s="9">
        <v>588028.61</v>
      </c>
      <c r="J142" s="9">
        <v>861240.06</v>
      </c>
      <c r="K142" t="s">
        <v>23</v>
      </c>
      <c r="L142"/>
    </row>
    <row r="143" spans="1:12" x14ac:dyDescent="0.25">
      <c r="A143" t="s">
        <v>314</v>
      </c>
      <c r="B143" t="s">
        <v>5</v>
      </c>
      <c r="C143" t="s">
        <v>6</v>
      </c>
      <c r="D143" t="s">
        <v>8</v>
      </c>
      <c r="E143" t="str">
        <f>HYPERLINK("RMS Survey MB-150-Sign_Photo.JPG","RMS Survey MB-150-Sign_Photo")</f>
        <v>RMS Survey MB-150-Sign_Photo</v>
      </c>
      <c r="F143" t="str">
        <f>HYPERLINK("RMS Survey MB-150-Location_Photo.JPG","RMS Survey MB-150-Location_Photo")</f>
        <v>RMS Survey MB-150-Location_Photo</v>
      </c>
      <c r="G143"/>
      <c r="H143"/>
      <c r="I143" s="9">
        <v>588015.35</v>
      </c>
      <c r="J143" s="9">
        <v>861206.35</v>
      </c>
      <c r="K143" t="s">
        <v>23</v>
      </c>
      <c r="L143"/>
    </row>
    <row r="144" spans="1:12" x14ac:dyDescent="0.25">
      <c r="A144" t="s">
        <v>315</v>
      </c>
      <c r="B144" t="s">
        <v>5</v>
      </c>
      <c r="C144" t="s">
        <v>6</v>
      </c>
      <c r="D144" t="s">
        <v>316</v>
      </c>
      <c r="E144" t="str">
        <f>HYPERLINK("RMS Survey MB-151-Sign_Photo.JPG","RMS Survey MB-151-Sign_Photo")</f>
        <v>RMS Survey MB-151-Sign_Photo</v>
      </c>
      <c r="F144" t="str">
        <f>HYPERLINK("RMS Survey MB-151-Location_Photo.JPG","RMS Survey MB-151-Location_Photo")</f>
        <v>RMS Survey MB-151-Location_Photo</v>
      </c>
      <c r="G144"/>
      <c r="H144"/>
      <c r="I144" s="9">
        <v>587988.16</v>
      </c>
      <c r="J144" s="9">
        <v>861169.33</v>
      </c>
      <c r="K144" t="s">
        <v>23</v>
      </c>
      <c r="L144"/>
    </row>
    <row r="145" spans="1:12" x14ac:dyDescent="0.25">
      <c r="A145" t="s">
        <v>317</v>
      </c>
      <c r="B145" t="s">
        <v>5</v>
      </c>
      <c r="C145" t="s">
        <v>6</v>
      </c>
      <c r="D145" t="s">
        <v>8</v>
      </c>
      <c r="E145" t="str">
        <f>HYPERLINK("RMS Survey MB-152-Sign_Photo.JPG","RMS Survey MB-152-Sign_Photo")</f>
        <v>RMS Survey MB-152-Sign_Photo</v>
      </c>
      <c r="F145" t="str">
        <f>HYPERLINK("RMS Survey MB-152-Location_Photo.JPG","RMS Survey MB-152-Location_Photo")</f>
        <v>RMS Survey MB-152-Location_Photo</v>
      </c>
      <c r="G145" t="str">
        <f>HYPERLINK("RMS Survey MB-152-Add1Photo.JPG","RMS Survey MB-152-Add1Photo")</f>
        <v>RMS Survey MB-152-Add1Photo</v>
      </c>
      <c r="H145"/>
      <c r="I145" s="9">
        <v>587926.97</v>
      </c>
      <c r="J145" s="9">
        <v>861297.27</v>
      </c>
      <c r="K145" t="s">
        <v>23</v>
      </c>
      <c r="L145"/>
    </row>
    <row r="146" spans="1:12" x14ac:dyDescent="0.25">
      <c r="A146" t="s">
        <v>319</v>
      </c>
      <c r="B146" t="s">
        <v>5</v>
      </c>
      <c r="C146" t="s">
        <v>6</v>
      </c>
      <c r="D146"/>
      <c r="E146" t="str">
        <f>HYPERLINK("RMS Survey MB-EMCG-8-Sign_Photo.JPG","RMS Survey MB-EMCG-8-Sign_Photo")</f>
        <v>RMS Survey MB-EMCG-8-Sign_Photo</v>
      </c>
      <c r="F146" t="str">
        <f>HYPERLINK("RMS Survey MB-EMCG-8-Location_Photo.JPG","RMS Survey MB-EMCG-8-Location_Photo")</f>
        <v>RMS Survey MB-EMCG-8-Location_Photo</v>
      </c>
      <c r="G146"/>
      <c r="H146"/>
      <c r="I146" s="9">
        <v>588009.19900000002</v>
      </c>
      <c r="J146" s="9">
        <v>861271.81099999999</v>
      </c>
      <c r="K146" t="s">
        <v>69</v>
      </c>
      <c r="L146"/>
    </row>
    <row r="147" spans="1:12" x14ac:dyDescent="0.25">
      <c r="A147" t="s">
        <v>320</v>
      </c>
      <c r="B147" t="s">
        <v>5</v>
      </c>
      <c r="C147" t="s">
        <v>6</v>
      </c>
      <c r="D147"/>
      <c r="E147" t="str">
        <f>HYPERLINK("RMS Survey MB-EMCG-9-Sign_Photo.JPG","RMS Survey MB-EMCG-9-Sign_Photo")</f>
        <v>RMS Survey MB-EMCG-9-Sign_Photo</v>
      </c>
      <c r="F147" t="str">
        <f>HYPERLINK("RMS Survey MB-EMCG-9-Location_Photo.JPG","RMS Survey MB-EMCG-9-Location_Photo")</f>
        <v>RMS Survey MB-EMCG-9-Location_Photo</v>
      </c>
      <c r="G147"/>
      <c r="H147"/>
      <c r="I147" s="9">
        <v>588061.94099999999</v>
      </c>
      <c r="J147" s="9">
        <v>861260.59900000005</v>
      </c>
      <c r="K147" t="s">
        <v>69</v>
      </c>
      <c r="L147"/>
    </row>
    <row r="148" spans="1:12" x14ac:dyDescent="0.25">
      <c r="A148" t="s">
        <v>321</v>
      </c>
      <c r="B148" t="s">
        <v>5</v>
      </c>
      <c r="C148" t="s">
        <v>6</v>
      </c>
      <c r="D148">
        <v>49</v>
      </c>
      <c r="E148" t="str">
        <f>HYPERLINK("RMS Survey MB-EMCG-3-Sign_Photo.JPG","RMS Survey MB-EMCG-3-Sign_Photo")</f>
        <v>RMS Survey MB-EMCG-3-Sign_Photo</v>
      </c>
      <c r="F148" t="str">
        <f>HYPERLINK("RMS Survey MB-EMCG-3-Location_Photo.JPG","RMS Survey MB-EMCG-3-Location_Photo")</f>
        <v>RMS Survey MB-EMCG-3-Location_Photo</v>
      </c>
      <c r="G148"/>
      <c r="H148"/>
      <c r="I148" s="9">
        <v>591851.55000000005</v>
      </c>
      <c r="J148" s="9">
        <v>859546.9</v>
      </c>
      <c r="K148" t="s">
        <v>9</v>
      </c>
      <c r="L148" t="s">
        <v>322</v>
      </c>
    </row>
    <row r="149" spans="1:12" x14ac:dyDescent="0.25">
      <c r="A149" t="s">
        <v>323</v>
      </c>
      <c r="B149" t="s">
        <v>5</v>
      </c>
      <c r="C149" t="s">
        <v>6</v>
      </c>
      <c r="D149">
        <v>75</v>
      </c>
      <c r="E149" t="str">
        <f>HYPERLINK("RMS Survey MB-EMCG-4-Sign_Photo.JPG","RMS Survey MB-EMCG-4-Sign_Photo")</f>
        <v>RMS Survey MB-EMCG-4-Sign_Photo</v>
      </c>
      <c r="F149" t="str">
        <f>HYPERLINK("RMS Survey MB-EMCG-4-Location_Photo.JPG","RMS Survey MB-EMCG-4-Location_Photo")</f>
        <v>RMS Survey MB-EMCG-4-Location_Photo</v>
      </c>
      <c r="G149"/>
      <c r="H149"/>
      <c r="I149" s="9">
        <v>591851.55000000005</v>
      </c>
      <c r="J149" s="9">
        <v>859546.9</v>
      </c>
      <c r="K149" t="s">
        <v>9</v>
      </c>
      <c r="L149" t="s">
        <v>324</v>
      </c>
    </row>
    <row r="150" spans="1:12" x14ac:dyDescent="0.25">
      <c r="A150" t="s">
        <v>325</v>
      </c>
      <c r="B150" t="s">
        <v>5</v>
      </c>
      <c r="C150" t="s">
        <v>6</v>
      </c>
      <c r="D150">
        <v>28</v>
      </c>
      <c r="E150" t="str">
        <f>HYPERLINK("RMS Survey MB-EMCG-2-Sign_Photo.JPG","RMS Survey MB-EMCG-2-Sign_Photo")</f>
        <v>RMS Survey MB-EMCG-2-Sign_Photo</v>
      </c>
      <c r="F150" t="str">
        <f>HYPERLINK("RMS Survey MB-EMCG-2-Location_Photo.JPG","RMS Survey MB-EMCG-2-Location_Photo")</f>
        <v>RMS Survey MB-EMCG-2-Location_Photo</v>
      </c>
      <c r="G150"/>
      <c r="H150"/>
      <c r="I150" s="9">
        <v>592890.69999999995</v>
      </c>
      <c r="J150" s="9">
        <v>859205.03</v>
      </c>
      <c r="K150" t="s">
        <v>9</v>
      </c>
      <c r="L150" t="s">
        <v>326</v>
      </c>
    </row>
    <row r="151" spans="1:12" x14ac:dyDescent="0.25">
      <c r="A151" t="s">
        <v>327</v>
      </c>
      <c r="B151" t="s">
        <v>5</v>
      </c>
      <c r="C151" t="s">
        <v>6</v>
      </c>
      <c r="D151">
        <v>21</v>
      </c>
      <c r="E151" t="str">
        <f>HYPERLINK("RMS Survey MB-EMCG-1-Sign_Photo.JPG","RMS Survey MB-EMCG-1-Sign_Photo")</f>
        <v>RMS Survey MB-EMCG-1-Sign_Photo</v>
      </c>
      <c r="F151" t="str">
        <f>HYPERLINK("RMS Survey MB-EMCG-1-Location_Photo.JPG","RMS Survey MB-EMCG-1-Location_Photo")</f>
        <v>RMS Survey MB-EMCG-1-Location_Photo</v>
      </c>
      <c r="G151"/>
      <c r="H151"/>
      <c r="I151" s="9">
        <v>592894.93999999994</v>
      </c>
      <c r="J151" s="9">
        <v>859290.16</v>
      </c>
      <c r="K151" t="s">
        <v>9</v>
      </c>
      <c r="L151" t="s">
        <v>326</v>
      </c>
    </row>
    <row r="152" spans="1:12" x14ac:dyDescent="0.25">
      <c r="A152" t="s">
        <v>328</v>
      </c>
      <c r="B152" t="s">
        <v>5</v>
      </c>
      <c r="C152" t="s">
        <v>6</v>
      </c>
      <c r="D152">
        <v>88</v>
      </c>
      <c r="E152" t="str">
        <f>HYPERLINK("RMS Survey MB-EMCG-5-Sign_Photo.JPG","RMS Survey MB-EMCG-5-Sign_Photo")</f>
        <v>RMS Survey MB-EMCG-5-Sign_Photo</v>
      </c>
      <c r="F152" t="str">
        <f>HYPERLINK("RMS Survey MB-EMCG-5-Location_Photo.JPG","RMS Survey MB-EMCG-5-Location_Photo")</f>
        <v>RMS Survey MB-EMCG-5-Location_Photo</v>
      </c>
      <c r="G152"/>
      <c r="H152"/>
      <c r="I152" s="9">
        <v>589500.25600000005</v>
      </c>
      <c r="J152" s="9">
        <v>860488.94099999999</v>
      </c>
      <c r="K152" t="s">
        <v>9</v>
      </c>
      <c r="L152" t="s">
        <v>324</v>
      </c>
    </row>
    <row r="153" spans="1:12" x14ac:dyDescent="0.25">
      <c r="A153" t="s">
        <v>329</v>
      </c>
      <c r="B153" t="s">
        <v>5</v>
      </c>
      <c r="C153" t="s">
        <v>6</v>
      </c>
      <c r="D153"/>
      <c r="E153" t="str">
        <f>HYPERLINK("RMS Survey MB-EMCG-7-Sign_Photo.JPG","RMS Survey MB-EMCG-7-Sign_Photo")</f>
        <v>RMS Survey MB-EMCG-7-Sign_Photo</v>
      </c>
      <c r="F153" t="str">
        <f>HYPERLINK("RMS Survey MB-EMCG-7-Location_Photo.JPG","RMS Survey MB-EMCG-7-Location_Photo")</f>
        <v>RMS Survey MB-EMCG-7-Location_Photo</v>
      </c>
      <c r="G153"/>
      <c r="H153"/>
      <c r="I153" s="9">
        <v>588547.103</v>
      </c>
      <c r="J153" s="9">
        <v>861091.16899999999</v>
      </c>
      <c r="K153" t="s">
        <v>281</v>
      </c>
      <c r="L153" t="s">
        <v>286</v>
      </c>
    </row>
    <row r="154" spans="1:12" x14ac:dyDescent="0.25">
      <c r="A154" t="s">
        <v>330</v>
      </c>
      <c r="B154" t="s">
        <v>5</v>
      </c>
      <c r="C154" t="s">
        <v>6</v>
      </c>
      <c r="D154"/>
      <c r="E154" t="str">
        <f>HYPERLINK("RMS Survey MB-EMCG-6-Sign_Photo.JPG","RMS Survey MB-EMCG-6-Sign_Photo")</f>
        <v>RMS Survey MB-EMCG-6-Sign_Photo</v>
      </c>
      <c r="F154" t="str">
        <f>HYPERLINK("RMS Survey MB-EMCG-6-Location_Photo.JPG","RMS Survey MB-EMCG-6-Location_Photo")</f>
        <v>RMS Survey MB-EMCG-6-Location_Photo</v>
      </c>
      <c r="G154"/>
      <c r="H154"/>
      <c r="I154" s="9">
        <v>588547.21100000001</v>
      </c>
      <c r="J154" s="9">
        <v>861091.24300000002</v>
      </c>
      <c r="K154" t="s">
        <v>281</v>
      </c>
      <c r="L154"/>
    </row>
    <row r="155" spans="1:12" x14ac:dyDescent="0.25">
      <c r="B155"/>
      <c r="C155"/>
      <c r="I155" s="9"/>
      <c r="J155" s="9"/>
      <c r="K155"/>
      <c r="L155"/>
    </row>
    <row r="156" spans="1:12" x14ac:dyDescent="0.25">
      <c r="B156"/>
      <c r="C156"/>
      <c r="I156" s="9"/>
      <c r="J156" s="9"/>
      <c r="K156"/>
      <c r="L156"/>
    </row>
    <row r="157" spans="1:12" x14ac:dyDescent="0.25">
      <c r="B157"/>
      <c r="C157"/>
      <c r="I157" s="9"/>
      <c r="J157" s="9"/>
      <c r="K157"/>
      <c r="L157"/>
    </row>
    <row r="158" spans="1:12" x14ac:dyDescent="0.25">
      <c r="B158"/>
      <c r="C158"/>
      <c r="I158" s="9"/>
      <c r="J158" s="9"/>
      <c r="K158"/>
      <c r="L158"/>
    </row>
    <row r="159" spans="1:12" x14ac:dyDescent="0.25">
      <c r="B159"/>
      <c r="I159" s="9"/>
      <c r="J159" s="9"/>
      <c r="K159"/>
      <c r="L159"/>
    </row>
    <row r="160" spans="1:12" x14ac:dyDescent="0.25">
      <c r="B160"/>
      <c r="I160" s="9"/>
      <c r="J160" s="9"/>
      <c r="K160"/>
      <c r="L160"/>
    </row>
    <row r="161" spans="2:12" x14ac:dyDescent="0.25">
      <c r="B161"/>
      <c r="I161" s="9"/>
      <c r="J161" s="9"/>
      <c r="K161"/>
      <c r="L161"/>
    </row>
    <row r="162" spans="2:12" x14ac:dyDescent="0.25">
      <c r="B162"/>
      <c r="I162" s="9"/>
      <c r="J162" s="9"/>
      <c r="K162"/>
      <c r="L162"/>
    </row>
    <row r="163" spans="2:12" x14ac:dyDescent="0.25">
      <c r="B163"/>
      <c r="I163" s="9"/>
      <c r="J163" s="9"/>
      <c r="K163"/>
    </row>
    <row r="164" spans="2:12" x14ac:dyDescent="0.25">
      <c r="B164"/>
      <c r="I164" s="9"/>
      <c r="J164" s="9"/>
      <c r="K164"/>
    </row>
    <row r="165" spans="2:12" x14ac:dyDescent="0.25">
      <c r="B165"/>
      <c r="I165" s="9"/>
      <c r="J165" s="9"/>
      <c r="K165"/>
    </row>
    <row r="166" spans="2:12" x14ac:dyDescent="0.25">
      <c r="B166"/>
      <c r="I166" s="9"/>
      <c r="J166" s="9"/>
      <c r="K166"/>
    </row>
    <row r="167" spans="2:12" x14ac:dyDescent="0.25">
      <c r="B167"/>
      <c r="I167" s="9"/>
      <c r="J167" s="9"/>
      <c r="K167"/>
    </row>
    <row r="168" spans="2:12" x14ac:dyDescent="0.25">
      <c r="B168"/>
      <c r="I168" s="9"/>
      <c r="J168" s="9"/>
      <c r="K168"/>
    </row>
    <row r="169" spans="2:12" x14ac:dyDescent="0.25">
      <c r="B169"/>
      <c r="I169" s="9"/>
      <c r="J169" s="9"/>
      <c r="K169"/>
    </row>
    <row r="170" spans="2:12" x14ac:dyDescent="0.25">
      <c r="B170"/>
      <c r="I170" s="9"/>
      <c r="J170" s="9"/>
      <c r="K170"/>
    </row>
    <row r="171" spans="2:12" x14ac:dyDescent="0.25">
      <c r="B171"/>
      <c r="I171" s="9"/>
      <c r="J171" s="9"/>
      <c r="K171"/>
    </row>
    <row r="172" spans="2:12" x14ac:dyDescent="0.25">
      <c r="B172"/>
      <c r="I172" s="9"/>
      <c r="J172" s="9"/>
      <c r="K172"/>
    </row>
    <row r="173" spans="2:12" x14ac:dyDescent="0.25">
      <c r="B173"/>
      <c r="I173" s="9"/>
      <c r="J173" s="9"/>
      <c r="K173"/>
    </row>
    <row r="174" spans="2:12" x14ac:dyDescent="0.25">
      <c r="B174"/>
      <c r="I174" s="9"/>
      <c r="J174" s="9"/>
      <c r="K174"/>
    </row>
    <row r="175" spans="2:12" x14ac:dyDescent="0.25">
      <c r="B175"/>
      <c r="I175" s="9"/>
      <c r="J175" s="9"/>
      <c r="K175"/>
    </row>
    <row r="176" spans="2:12" x14ac:dyDescent="0.25">
      <c r="B176"/>
      <c r="I176" s="9"/>
      <c r="J176" s="9"/>
      <c r="K176"/>
    </row>
    <row r="177" spans="2:11" x14ac:dyDescent="0.25">
      <c r="B177"/>
      <c r="I177" s="9"/>
      <c r="J177" s="9"/>
      <c r="K177"/>
    </row>
    <row r="178" spans="2:11" x14ac:dyDescent="0.25">
      <c r="B178"/>
      <c r="I178" s="9"/>
      <c r="J178" s="9"/>
      <c r="K178"/>
    </row>
    <row r="179" spans="2:11" x14ac:dyDescent="0.25">
      <c r="B179"/>
      <c r="I179" s="9"/>
      <c r="J179" s="9"/>
      <c r="K179"/>
    </row>
    <row r="180" spans="2:11" x14ac:dyDescent="0.25">
      <c r="B180"/>
      <c r="I180" s="9"/>
      <c r="J180" s="9"/>
      <c r="K180"/>
    </row>
    <row r="181" spans="2:11" x14ac:dyDescent="0.25">
      <c r="B181"/>
      <c r="I181" s="9"/>
      <c r="J181" s="9"/>
      <c r="K181"/>
    </row>
    <row r="182" spans="2:11" x14ac:dyDescent="0.25">
      <c r="B182"/>
      <c r="I182" s="9"/>
      <c r="J182" s="9"/>
      <c r="K182"/>
    </row>
    <row r="183" spans="2:11" x14ac:dyDescent="0.25">
      <c r="B183"/>
      <c r="I183" s="9"/>
      <c r="J183" s="9"/>
      <c r="K183"/>
    </row>
    <row r="184" spans="2:11" x14ac:dyDescent="0.25">
      <c r="B184"/>
      <c r="I184" s="9"/>
      <c r="J184" s="9"/>
      <c r="K184"/>
    </row>
    <row r="185" spans="2:11" x14ac:dyDescent="0.25">
      <c r="B185"/>
      <c r="I185" s="9"/>
      <c r="J185" s="9"/>
      <c r="K185"/>
    </row>
    <row r="186" spans="2:11" x14ac:dyDescent="0.25">
      <c r="B186"/>
      <c r="I186" s="9"/>
      <c r="J186" s="9"/>
      <c r="K186"/>
    </row>
    <row r="187" spans="2:11" x14ac:dyDescent="0.25">
      <c r="B187"/>
      <c r="I187" s="9"/>
      <c r="J187" s="9"/>
      <c r="K187"/>
    </row>
    <row r="188" spans="2:11" x14ac:dyDescent="0.25">
      <c r="B188"/>
      <c r="I188" s="9"/>
      <c r="J188" s="9"/>
      <c r="K188"/>
    </row>
    <row r="189" spans="2:11" x14ac:dyDescent="0.25">
      <c r="B189"/>
      <c r="I189" s="9"/>
      <c r="J189" s="9"/>
      <c r="K189"/>
    </row>
    <row r="190" spans="2:11" x14ac:dyDescent="0.25">
      <c r="B190"/>
      <c r="I190" s="9"/>
      <c r="J190" s="9"/>
      <c r="K190"/>
    </row>
    <row r="191" spans="2:11" x14ac:dyDescent="0.25">
      <c r="B191"/>
      <c r="I191" s="9"/>
      <c r="J191" s="9"/>
      <c r="K191"/>
    </row>
    <row r="192" spans="2:11" x14ac:dyDescent="0.25">
      <c r="B192"/>
      <c r="I192" s="9"/>
      <c r="J192" s="9"/>
      <c r="K192"/>
    </row>
    <row r="193" spans="2:11" x14ac:dyDescent="0.25">
      <c r="B193"/>
      <c r="I193" s="9"/>
      <c r="J193" s="9"/>
      <c r="K193"/>
    </row>
    <row r="194" spans="2:11" x14ac:dyDescent="0.25">
      <c r="B194"/>
      <c r="I194" s="9"/>
      <c r="J194" s="9"/>
      <c r="K194"/>
    </row>
    <row r="195" spans="2:11" x14ac:dyDescent="0.25">
      <c r="B195"/>
      <c r="I195" s="9"/>
      <c r="J195" s="9"/>
      <c r="K195"/>
    </row>
    <row r="196" spans="2:11" x14ac:dyDescent="0.25">
      <c r="B196"/>
      <c r="I196" s="9"/>
      <c r="J196" s="9"/>
      <c r="K196"/>
    </row>
    <row r="197" spans="2:11" x14ac:dyDescent="0.25">
      <c r="B197"/>
      <c r="I197" s="9"/>
      <c r="J197" s="9"/>
      <c r="K197"/>
    </row>
  </sheetData>
  <autoFilter ref="A1:L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U158"/>
  <sheetViews>
    <sheetView zoomScale="80" zoomScaleNormal="80" workbookViewId="0">
      <selection activeCell="H16" sqref="H16"/>
    </sheetView>
  </sheetViews>
  <sheetFormatPr defaultRowHeight="15" x14ac:dyDescent="0.25"/>
  <cols>
    <col min="1" max="1" width="17.140625" style="5" customWidth="1"/>
    <col min="2" max="2" width="28.140625" style="5" customWidth="1"/>
    <col min="3" max="3" width="29.28515625" style="5" customWidth="1"/>
    <col min="4" max="4" width="31.85546875" style="5" customWidth="1"/>
    <col min="5" max="5" width="18.42578125" style="5" customWidth="1"/>
    <col min="6" max="6" width="14" style="5" customWidth="1"/>
    <col min="7" max="7" width="22.42578125" style="12" customWidth="1"/>
    <col min="8" max="8" width="24.85546875" style="12" customWidth="1"/>
    <col min="9" max="9" width="23.140625" style="12" customWidth="1"/>
    <col min="10" max="10" width="24.7109375" style="12" customWidth="1"/>
    <col min="11" max="11" width="27.42578125" style="12" customWidth="1"/>
    <col min="12" max="12" width="25.42578125" style="12" customWidth="1"/>
    <col min="13" max="13" width="12.7109375" style="5" customWidth="1"/>
    <col min="14" max="14" width="18.7109375" style="12" customWidth="1"/>
    <col min="15" max="15" width="30.5703125" style="11" customWidth="1"/>
    <col min="16" max="19" width="20.7109375" style="11" customWidth="1"/>
    <col min="20" max="20" width="28" style="11" customWidth="1"/>
    <col min="21" max="21" width="20.7109375" style="11" customWidth="1"/>
  </cols>
  <sheetData>
    <row r="1" spans="1:21" s="21" customFormat="1" x14ac:dyDescent="0.25">
      <c r="A1" s="13" t="s">
        <v>331</v>
      </c>
      <c r="B1" s="15" t="s">
        <v>343</v>
      </c>
      <c r="C1" s="15" t="s">
        <v>344</v>
      </c>
      <c r="D1" s="15" t="s">
        <v>345</v>
      </c>
      <c r="E1" s="15" t="s">
        <v>346</v>
      </c>
      <c r="F1" s="13" t="s">
        <v>347</v>
      </c>
      <c r="G1" s="15" t="s">
        <v>348</v>
      </c>
      <c r="H1" s="13" t="s">
        <v>349</v>
      </c>
      <c r="I1" s="15" t="s">
        <v>350</v>
      </c>
      <c r="J1" s="13" t="s">
        <v>351</v>
      </c>
      <c r="K1" s="20" t="s">
        <v>352</v>
      </c>
      <c r="L1" s="15" t="s">
        <v>353</v>
      </c>
      <c r="M1" s="15" t="s">
        <v>354</v>
      </c>
      <c r="N1" s="15" t="s">
        <v>355</v>
      </c>
      <c r="O1" s="13" t="s">
        <v>356</v>
      </c>
      <c r="P1" s="13" t="s">
        <v>357</v>
      </c>
      <c r="Q1" s="13" t="s">
        <v>358</v>
      </c>
      <c r="R1" s="15" t="s">
        <v>359</v>
      </c>
      <c r="S1" s="15" t="s">
        <v>360</v>
      </c>
      <c r="T1" s="15" t="s">
        <v>361</v>
      </c>
      <c r="U1" s="13" t="s">
        <v>2</v>
      </c>
    </row>
    <row r="2" spans="1:21" x14ac:dyDescent="0.25">
      <c r="A2" s="10" t="s">
        <v>7</v>
      </c>
      <c r="B2" s="11" t="s">
        <v>10</v>
      </c>
      <c r="C2" s="11" t="s">
        <v>11</v>
      </c>
      <c r="D2" t="s">
        <v>12</v>
      </c>
      <c r="E2" s="11" t="s">
        <v>13</v>
      </c>
      <c r="F2" s="11" t="s">
        <v>14</v>
      </c>
      <c r="H2" s="12">
        <v>1</v>
      </c>
      <c r="I2" s="12">
        <v>76</v>
      </c>
      <c r="J2" s="12" t="s">
        <v>13</v>
      </c>
      <c r="K2" s="12" t="s">
        <v>15</v>
      </c>
      <c r="L2" s="12">
        <v>3200</v>
      </c>
      <c r="M2" s="11" t="s">
        <v>16</v>
      </c>
      <c r="N2" s="12" t="s">
        <v>17</v>
      </c>
      <c r="P2" s="11">
        <v>600</v>
      </c>
      <c r="Q2" s="11">
        <v>600</v>
      </c>
      <c r="R2" s="11" t="s">
        <v>18</v>
      </c>
      <c r="S2" s="11" t="s">
        <v>19</v>
      </c>
      <c r="T2" s="11">
        <v>2012</v>
      </c>
      <c r="U2" s="11" t="s">
        <v>20</v>
      </c>
    </row>
    <row r="3" spans="1:21" x14ac:dyDescent="0.25">
      <c r="A3" s="10" t="s">
        <v>22</v>
      </c>
      <c r="B3" s="11" t="s">
        <v>24</v>
      </c>
      <c r="C3" s="11" t="s">
        <v>25</v>
      </c>
      <c r="D3" t="s">
        <v>12</v>
      </c>
      <c r="E3" s="11" t="s">
        <v>13</v>
      </c>
      <c r="F3" s="11" t="s">
        <v>14</v>
      </c>
      <c r="H3" s="12">
        <v>1</v>
      </c>
      <c r="I3" s="12">
        <v>76</v>
      </c>
      <c r="J3" s="12" t="s">
        <v>13</v>
      </c>
      <c r="K3" s="12" t="s">
        <v>15</v>
      </c>
      <c r="L3" s="12">
        <v>2300</v>
      </c>
      <c r="M3" s="11" t="s">
        <v>16</v>
      </c>
      <c r="N3" s="12" t="s">
        <v>17</v>
      </c>
      <c r="P3" s="11">
        <v>600</v>
      </c>
      <c r="Q3" s="11">
        <v>600</v>
      </c>
      <c r="R3" s="11" t="s">
        <v>18</v>
      </c>
      <c r="S3" s="11" t="s">
        <v>26</v>
      </c>
      <c r="T3" s="11">
        <v>2004</v>
      </c>
      <c r="U3" s="11" t="s">
        <v>20</v>
      </c>
    </row>
    <row r="4" spans="1:21" x14ac:dyDescent="0.25">
      <c r="A4" s="10" t="s">
        <v>27</v>
      </c>
      <c r="B4" s="11" t="s">
        <v>10</v>
      </c>
      <c r="C4" s="11" t="s">
        <v>28</v>
      </c>
      <c r="D4" t="s">
        <v>12</v>
      </c>
      <c r="E4" s="11" t="s">
        <v>13</v>
      </c>
      <c r="F4" s="11" t="s">
        <v>14</v>
      </c>
      <c r="H4" s="12">
        <v>2</v>
      </c>
      <c r="I4" s="12">
        <v>76</v>
      </c>
      <c r="J4" s="12">
        <v>1000</v>
      </c>
      <c r="K4" s="12" t="s">
        <v>15</v>
      </c>
      <c r="L4" s="12">
        <v>1000</v>
      </c>
      <c r="M4" s="11" t="s">
        <v>16</v>
      </c>
      <c r="N4" s="12" t="s">
        <v>17</v>
      </c>
      <c r="P4" s="11">
        <v>1800</v>
      </c>
      <c r="Q4" s="11">
        <v>400</v>
      </c>
      <c r="R4" s="11" t="s">
        <v>18</v>
      </c>
      <c r="S4" s="11" t="s">
        <v>29</v>
      </c>
      <c r="T4" s="11">
        <v>2004</v>
      </c>
      <c r="U4" s="11" t="s">
        <v>20</v>
      </c>
    </row>
    <row r="5" spans="1:21" x14ac:dyDescent="0.25">
      <c r="A5" s="10" t="s">
        <v>30</v>
      </c>
      <c r="B5" s="11" t="s">
        <v>32</v>
      </c>
      <c r="C5" s="11" t="s">
        <v>32</v>
      </c>
      <c r="D5" t="s">
        <v>12</v>
      </c>
      <c r="E5" s="11" t="s">
        <v>20</v>
      </c>
      <c r="F5" s="11" t="s">
        <v>14</v>
      </c>
      <c r="G5" s="12" t="s">
        <v>0</v>
      </c>
      <c r="H5" s="12">
        <v>2</v>
      </c>
      <c r="I5" s="12">
        <v>76</v>
      </c>
      <c r="J5" s="12">
        <v>1000</v>
      </c>
      <c r="K5" s="12" t="s">
        <v>15</v>
      </c>
      <c r="L5" s="12">
        <v>2600</v>
      </c>
      <c r="M5" s="11" t="s">
        <v>16</v>
      </c>
      <c r="N5" s="12" t="s">
        <v>33</v>
      </c>
      <c r="P5" s="11">
        <v>1410</v>
      </c>
      <c r="Q5" s="11">
        <v>760</v>
      </c>
      <c r="R5" s="11" t="s">
        <v>34</v>
      </c>
      <c r="S5" s="11" t="s">
        <v>35</v>
      </c>
      <c r="T5" s="11">
        <v>2007</v>
      </c>
      <c r="U5" s="11" t="s">
        <v>20</v>
      </c>
    </row>
    <row r="6" spans="1:21" x14ac:dyDescent="0.25">
      <c r="A6" s="10" t="s">
        <v>37</v>
      </c>
      <c r="B6" s="11" t="s">
        <v>32</v>
      </c>
      <c r="C6" s="11" t="s">
        <v>38</v>
      </c>
      <c r="D6" t="s">
        <v>39</v>
      </c>
      <c r="E6" s="11" t="s">
        <v>20</v>
      </c>
      <c r="F6" s="11" t="s">
        <v>14</v>
      </c>
      <c r="G6" s="12" t="s">
        <v>0</v>
      </c>
      <c r="H6" s="12">
        <v>2</v>
      </c>
      <c r="I6" s="12">
        <v>76</v>
      </c>
      <c r="J6" s="12">
        <v>1000</v>
      </c>
      <c r="K6" s="12" t="s">
        <v>15</v>
      </c>
      <c r="L6" s="12">
        <v>1800</v>
      </c>
      <c r="M6" s="11" t="s">
        <v>16</v>
      </c>
      <c r="N6" s="12" t="s">
        <v>33</v>
      </c>
      <c r="P6" s="11">
        <v>1410</v>
      </c>
      <c r="Q6" s="11">
        <v>540</v>
      </c>
      <c r="R6" s="11" t="s">
        <v>34</v>
      </c>
      <c r="S6" s="11" t="s">
        <v>35</v>
      </c>
      <c r="T6" s="11">
        <v>2008</v>
      </c>
      <c r="U6" s="11" t="s">
        <v>40</v>
      </c>
    </row>
    <row r="7" spans="1:21" x14ac:dyDescent="0.25">
      <c r="A7" s="10" t="s">
        <v>41</v>
      </c>
      <c r="B7" s="11" t="s">
        <v>32</v>
      </c>
      <c r="C7" s="11" t="s">
        <v>32</v>
      </c>
      <c r="D7" t="s">
        <v>12</v>
      </c>
      <c r="E7" s="11" t="s">
        <v>13</v>
      </c>
      <c r="F7" s="11" t="s">
        <v>14</v>
      </c>
      <c r="H7" s="12">
        <v>2</v>
      </c>
      <c r="I7" s="12">
        <v>76</v>
      </c>
      <c r="J7" s="12">
        <v>900</v>
      </c>
      <c r="K7" s="12" t="s">
        <v>15</v>
      </c>
      <c r="L7" s="12">
        <v>1700</v>
      </c>
      <c r="M7" s="11"/>
      <c r="N7" s="12" t="s">
        <v>17</v>
      </c>
      <c r="P7" s="11">
        <v>1410</v>
      </c>
      <c r="Q7" s="11">
        <v>760</v>
      </c>
      <c r="R7" s="11" t="s">
        <v>18</v>
      </c>
      <c r="S7" s="11" t="s">
        <v>43</v>
      </c>
      <c r="T7" s="11">
        <v>2007</v>
      </c>
      <c r="U7" s="11" t="s">
        <v>20</v>
      </c>
    </row>
    <row r="8" spans="1:21" x14ac:dyDescent="0.25">
      <c r="A8" s="10" t="s">
        <v>44</v>
      </c>
      <c r="B8" s="11" t="s">
        <v>32</v>
      </c>
      <c r="C8" s="11" t="s">
        <v>32</v>
      </c>
      <c r="D8" t="s">
        <v>12</v>
      </c>
      <c r="E8" s="11" t="s">
        <v>13</v>
      </c>
      <c r="F8" s="11" t="s">
        <v>14</v>
      </c>
      <c r="G8" s="12" t="s">
        <v>33</v>
      </c>
      <c r="H8" s="12">
        <v>2</v>
      </c>
      <c r="I8" s="12">
        <v>76</v>
      </c>
      <c r="J8" s="12">
        <v>900</v>
      </c>
      <c r="K8" s="12" t="s">
        <v>15</v>
      </c>
      <c r="L8" s="12">
        <v>1200</v>
      </c>
      <c r="M8" s="11"/>
      <c r="N8" s="12" t="s">
        <v>17</v>
      </c>
      <c r="P8" s="11">
        <v>1410</v>
      </c>
      <c r="Q8" s="11">
        <v>540</v>
      </c>
      <c r="R8" s="11" t="s">
        <v>18</v>
      </c>
      <c r="S8" s="11" t="s">
        <v>43</v>
      </c>
      <c r="T8" s="11">
        <v>2008</v>
      </c>
      <c r="U8" s="11" t="s">
        <v>20</v>
      </c>
    </row>
    <row r="9" spans="1:21" x14ac:dyDescent="0.25">
      <c r="A9" s="10" t="s">
        <v>45</v>
      </c>
      <c r="B9" s="11" t="s">
        <v>47</v>
      </c>
      <c r="C9" s="11" t="s">
        <v>47</v>
      </c>
      <c r="D9" t="s">
        <v>48</v>
      </c>
      <c r="E9" s="11" t="s">
        <v>49</v>
      </c>
      <c r="F9" s="11" t="s">
        <v>14</v>
      </c>
      <c r="G9" s="12" t="s">
        <v>33</v>
      </c>
      <c r="H9" s="12">
        <v>2</v>
      </c>
      <c r="I9" s="12">
        <v>140</v>
      </c>
      <c r="J9" s="12" t="s">
        <v>50</v>
      </c>
      <c r="K9" s="12" t="s">
        <v>15</v>
      </c>
      <c r="L9" s="12">
        <v>1800</v>
      </c>
      <c r="M9" s="11" t="s">
        <v>16</v>
      </c>
      <c r="N9" s="12" t="s">
        <v>33</v>
      </c>
      <c r="P9" s="11">
        <v>2305</v>
      </c>
      <c r="Q9" s="11">
        <v>2565</v>
      </c>
      <c r="S9" s="11" t="s">
        <v>19</v>
      </c>
      <c r="T9" s="11">
        <v>2012</v>
      </c>
      <c r="U9" s="11" t="s">
        <v>20</v>
      </c>
    </row>
    <row r="10" spans="1:21" x14ac:dyDescent="0.25">
      <c r="A10" s="10" t="s">
        <v>52</v>
      </c>
      <c r="B10" s="11" t="s">
        <v>54</v>
      </c>
      <c r="C10" s="11" t="s">
        <v>36</v>
      </c>
      <c r="D10" t="s">
        <v>12</v>
      </c>
      <c r="E10" s="11" t="s">
        <v>20</v>
      </c>
      <c r="F10" s="11" t="s">
        <v>14</v>
      </c>
      <c r="G10" s="12" t="s">
        <v>17</v>
      </c>
      <c r="H10" s="12">
        <v>2</v>
      </c>
      <c r="I10" s="12">
        <v>114</v>
      </c>
      <c r="J10" s="12">
        <v>1300</v>
      </c>
      <c r="K10" s="12" t="s">
        <v>15</v>
      </c>
      <c r="L10" s="12">
        <v>2200</v>
      </c>
      <c r="M10" s="11" t="s">
        <v>16</v>
      </c>
      <c r="N10" s="12" t="s">
        <v>33</v>
      </c>
      <c r="P10" s="11">
        <v>2400</v>
      </c>
      <c r="Q10" s="11">
        <v>1800</v>
      </c>
      <c r="R10" s="11" t="s">
        <v>34</v>
      </c>
      <c r="S10" s="11" t="s">
        <v>55</v>
      </c>
      <c r="T10" s="11" t="s">
        <v>55</v>
      </c>
      <c r="U10" s="11" t="s">
        <v>20</v>
      </c>
    </row>
    <row r="11" spans="1:21" x14ac:dyDescent="0.25">
      <c r="A11" s="10" t="s">
        <v>56</v>
      </c>
      <c r="B11" s="11" t="s">
        <v>24</v>
      </c>
      <c r="C11" s="11" t="s">
        <v>58</v>
      </c>
      <c r="D11" t="s">
        <v>12</v>
      </c>
      <c r="E11" s="11" t="s">
        <v>13</v>
      </c>
      <c r="F11" s="11" t="s">
        <v>14</v>
      </c>
      <c r="G11" s="12" t="s">
        <v>33</v>
      </c>
      <c r="H11" s="12">
        <v>1</v>
      </c>
      <c r="I11" s="12">
        <v>114</v>
      </c>
      <c r="J11" s="12" t="s">
        <v>13</v>
      </c>
      <c r="K11" s="12" t="s">
        <v>15</v>
      </c>
      <c r="L11" s="12">
        <v>1500</v>
      </c>
      <c r="M11" s="11" t="s">
        <v>16</v>
      </c>
      <c r="N11" s="12" t="s">
        <v>33</v>
      </c>
      <c r="P11" s="11">
        <v>750</v>
      </c>
      <c r="Q11" s="11">
        <v>750</v>
      </c>
      <c r="R11" s="11" t="s">
        <v>18</v>
      </c>
      <c r="S11" s="11" t="s">
        <v>26</v>
      </c>
      <c r="T11" s="11">
        <v>2004</v>
      </c>
      <c r="U11" s="11" t="s">
        <v>20</v>
      </c>
    </row>
    <row r="12" spans="1:21" x14ac:dyDescent="0.25">
      <c r="A12" s="10" t="s">
        <v>59</v>
      </c>
      <c r="B12" s="11" t="s">
        <v>10</v>
      </c>
      <c r="C12" s="11" t="s">
        <v>10</v>
      </c>
      <c r="D12" t="s">
        <v>12</v>
      </c>
      <c r="E12" s="11" t="s">
        <v>13</v>
      </c>
      <c r="F12" s="11" t="s">
        <v>14</v>
      </c>
      <c r="G12" s="12" t="s">
        <v>33</v>
      </c>
      <c r="H12" s="12">
        <v>2</v>
      </c>
      <c r="I12" s="12">
        <v>114</v>
      </c>
      <c r="J12" s="12">
        <v>800</v>
      </c>
      <c r="K12" s="12" t="s">
        <v>15</v>
      </c>
      <c r="L12" s="12">
        <v>1400</v>
      </c>
      <c r="M12" s="11" t="s">
        <v>16</v>
      </c>
      <c r="N12" s="12" t="s">
        <v>33</v>
      </c>
      <c r="P12" s="11">
        <v>1335</v>
      </c>
      <c r="Q12" s="11">
        <v>1900</v>
      </c>
      <c r="R12" s="11" t="s">
        <v>60</v>
      </c>
      <c r="S12" s="11" t="s">
        <v>29</v>
      </c>
      <c r="T12" s="11">
        <v>2000</v>
      </c>
      <c r="U12" s="11" t="s">
        <v>20</v>
      </c>
    </row>
    <row r="13" spans="1:21" x14ac:dyDescent="0.25">
      <c r="A13" s="10" t="s">
        <v>61</v>
      </c>
      <c r="B13" s="11" t="s">
        <v>10</v>
      </c>
      <c r="C13" s="11" t="s">
        <v>62</v>
      </c>
      <c r="D13" t="s">
        <v>12</v>
      </c>
      <c r="E13" s="11" t="s">
        <v>13</v>
      </c>
      <c r="F13" s="11" t="s">
        <v>14</v>
      </c>
      <c r="G13" s="12" t="s">
        <v>33</v>
      </c>
      <c r="H13" s="12">
        <v>1</v>
      </c>
      <c r="I13" s="12">
        <v>76</v>
      </c>
      <c r="J13" s="12" t="s">
        <v>13</v>
      </c>
      <c r="K13" s="12" t="s">
        <v>63</v>
      </c>
      <c r="L13" s="12">
        <v>1700</v>
      </c>
      <c r="M13" s="11" t="s">
        <v>16</v>
      </c>
      <c r="N13" s="12" t="s">
        <v>17</v>
      </c>
      <c r="P13" s="11">
        <v>900</v>
      </c>
      <c r="Q13" s="11">
        <v>900</v>
      </c>
      <c r="R13" s="11" t="s">
        <v>18</v>
      </c>
      <c r="S13" s="11" t="s">
        <v>64</v>
      </c>
      <c r="T13" s="11">
        <v>2008</v>
      </c>
      <c r="U13" s="11" t="s">
        <v>20</v>
      </c>
    </row>
    <row r="14" spans="1:21" x14ac:dyDescent="0.25">
      <c r="A14" s="10" t="s">
        <v>66</v>
      </c>
      <c r="B14" s="11" t="s">
        <v>54</v>
      </c>
      <c r="C14" s="11" t="s">
        <v>36</v>
      </c>
      <c r="D14" t="s">
        <v>12</v>
      </c>
      <c r="E14" s="11" t="s">
        <v>13</v>
      </c>
      <c r="F14" s="11" t="s">
        <v>14</v>
      </c>
      <c r="G14" s="12" t="s">
        <v>17</v>
      </c>
      <c r="H14" s="12">
        <v>1</v>
      </c>
      <c r="I14" s="12">
        <v>76</v>
      </c>
      <c r="J14" s="12" t="s">
        <v>13</v>
      </c>
      <c r="K14" s="12" t="s">
        <v>63</v>
      </c>
      <c r="L14" s="12">
        <v>1400</v>
      </c>
      <c r="M14" s="11" t="s">
        <v>16</v>
      </c>
      <c r="N14" s="12" t="s">
        <v>33</v>
      </c>
      <c r="P14" s="11">
        <v>600</v>
      </c>
      <c r="Q14" s="11">
        <v>450</v>
      </c>
      <c r="R14" s="11" t="s">
        <v>60</v>
      </c>
      <c r="S14" s="11" t="s">
        <v>67</v>
      </c>
      <c r="T14" s="11">
        <v>2014</v>
      </c>
      <c r="U14" s="11" t="s">
        <v>20</v>
      </c>
    </row>
    <row r="15" spans="1:21" x14ac:dyDescent="0.25">
      <c r="A15" s="10" t="s">
        <v>68</v>
      </c>
      <c r="B15" s="11" t="s">
        <v>54</v>
      </c>
      <c r="C15" s="11" t="s">
        <v>70</v>
      </c>
      <c r="D15" t="s">
        <v>12</v>
      </c>
      <c r="E15" s="11" t="s">
        <v>13</v>
      </c>
      <c r="F15" s="11" t="s">
        <v>14</v>
      </c>
      <c r="G15" s="12" t="s">
        <v>33</v>
      </c>
      <c r="H15" s="12">
        <v>2</v>
      </c>
      <c r="I15" s="12">
        <v>76</v>
      </c>
      <c r="J15" s="12">
        <v>700</v>
      </c>
      <c r="K15" s="12" t="s">
        <v>15</v>
      </c>
      <c r="L15" s="12">
        <v>1600</v>
      </c>
      <c r="M15" s="11" t="s">
        <v>16</v>
      </c>
      <c r="N15" s="12" t="s">
        <v>17</v>
      </c>
      <c r="P15" s="11">
        <v>1200</v>
      </c>
      <c r="Q15" s="11">
        <v>900</v>
      </c>
      <c r="R15" s="11" t="s">
        <v>60</v>
      </c>
      <c r="S15" s="11" t="s">
        <v>55</v>
      </c>
      <c r="T15" s="11" t="s">
        <v>55</v>
      </c>
      <c r="U15" s="11" t="s">
        <v>20</v>
      </c>
    </row>
    <row r="16" spans="1:21" x14ac:dyDescent="0.25">
      <c r="A16" s="10" t="s">
        <v>71</v>
      </c>
      <c r="B16" s="11" t="s">
        <v>73</v>
      </c>
      <c r="C16" s="11" t="s">
        <v>74</v>
      </c>
      <c r="D16" t="s">
        <v>75</v>
      </c>
      <c r="E16" s="11" t="s">
        <v>20</v>
      </c>
      <c r="F16" s="11" t="s">
        <v>14</v>
      </c>
      <c r="G16" s="12" t="s">
        <v>33</v>
      </c>
      <c r="H16" s="12">
        <v>1</v>
      </c>
      <c r="I16" s="12">
        <v>139</v>
      </c>
      <c r="J16" s="12" t="s">
        <v>13</v>
      </c>
      <c r="K16" s="12" t="s">
        <v>63</v>
      </c>
      <c r="L16" s="12">
        <v>1900</v>
      </c>
      <c r="M16" s="11" t="s">
        <v>16</v>
      </c>
      <c r="N16" s="12" t="s">
        <v>17</v>
      </c>
      <c r="P16" s="11">
        <v>1180</v>
      </c>
      <c r="Q16" s="11">
        <v>2670</v>
      </c>
      <c r="R16" s="11" t="s">
        <v>18</v>
      </c>
      <c r="S16" s="11" t="s">
        <v>67</v>
      </c>
      <c r="T16" s="11">
        <v>2006</v>
      </c>
      <c r="U16" s="11" t="s">
        <v>20</v>
      </c>
    </row>
    <row r="17" spans="1:21" x14ac:dyDescent="0.25">
      <c r="A17" s="10" t="s">
        <v>76</v>
      </c>
      <c r="B17" s="11" t="s">
        <v>73</v>
      </c>
      <c r="C17" s="11" t="s">
        <v>74</v>
      </c>
      <c r="D17" t="s">
        <v>75</v>
      </c>
      <c r="E17" s="11" t="s">
        <v>13</v>
      </c>
      <c r="F17" s="11" t="s">
        <v>14</v>
      </c>
      <c r="G17" s="12" t="s">
        <v>33</v>
      </c>
      <c r="H17" s="12">
        <v>1</v>
      </c>
      <c r="I17" s="12">
        <v>139</v>
      </c>
      <c r="J17" s="12" t="s">
        <v>13</v>
      </c>
      <c r="K17" s="12" t="s">
        <v>63</v>
      </c>
      <c r="L17" s="12">
        <v>1800</v>
      </c>
      <c r="M17" s="11" t="s">
        <v>16</v>
      </c>
      <c r="N17" s="12" t="s">
        <v>17</v>
      </c>
      <c r="P17" s="11">
        <v>1180</v>
      </c>
      <c r="Q17" s="11">
        <v>2670</v>
      </c>
      <c r="R17" s="11" t="s">
        <v>18</v>
      </c>
      <c r="S17" s="11" t="s">
        <v>67</v>
      </c>
      <c r="T17" s="11">
        <v>2006</v>
      </c>
      <c r="U17" s="11" t="s">
        <v>20</v>
      </c>
    </row>
    <row r="18" spans="1:21" x14ac:dyDescent="0.25">
      <c r="A18" s="10" t="s">
        <v>78</v>
      </c>
      <c r="B18" s="11" t="s">
        <v>10</v>
      </c>
      <c r="C18" s="11" t="s">
        <v>79</v>
      </c>
      <c r="D18" t="s">
        <v>12</v>
      </c>
      <c r="E18" s="11" t="s">
        <v>13</v>
      </c>
      <c r="F18" s="11" t="s">
        <v>14</v>
      </c>
      <c r="G18" s="12" t="s">
        <v>33</v>
      </c>
      <c r="H18" s="12">
        <v>1</v>
      </c>
      <c r="I18" s="12">
        <v>76</v>
      </c>
      <c r="J18" s="12" t="s">
        <v>13</v>
      </c>
      <c r="K18" s="12" t="s">
        <v>15</v>
      </c>
      <c r="L18" s="12">
        <v>1200</v>
      </c>
      <c r="M18" s="11" t="s">
        <v>16</v>
      </c>
      <c r="N18" s="12" t="s">
        <v>17</v>
      </c>
      <c r="P18" s="11">
        <v>600</v>
      </c>
      <c r="Q18" s="11">
        <v>400</v>
      </c>
      <c r="R18" s="11" t="s">
        <v>18</v>
      </c>
      <c r="S18" s="11" t="s">
        <v>19</v>
      </c>
      <c r="T18" s="11">
        <v>2004</v>
      </c>
      <c r="U18" s="11" t="s">
        <v>20</v>
      </c>
    </row>
    <row r="19" spans="1:21" x14ac:dyDescent="0.25">
      <c r="A19" s="10" t="s">
        <v>80</v>
      </c>
      <c r="B19" s="11" t="s">
        <v>10</v>
      </c>
      <c r="C19" s="11" t="s">
        <v>81</v>
      </c>
      <c r="D19" t="s">
        <v>12</v>
      </c>
      <c r="E19" s="11" t="s">
        <v>13</v>
      </c>
      <c r="F19" s="11" t="s">
        <v>14</v>
      </c>
      <c r="G19" s="12" t="s">
        <v>33</v>
      </c>
      <c r="H19" s="12">
        <v>1</v>
      </c>
      <c r="I19" s="12">
        <v>76</v>
      </c>
      <c r="J19" s="12" t="s">
        <v>13</v>
      </c>
      <c r="K19" s="12" t="s">
        <v>15</v>
      </c>
      <c r="L19" s="12">
        <v>1200</v>
      </c>
      <c r="M19" s="11" t="s">
        <v>16</v>
      </c>
      <c r="N19" s="12" t="s">
        <v>17</v>
      </c>
      <c r="P19" s="11">
        <v>600</v>
      </c>
      <c r="Q19" s="11">
        <v>400</v>
      </c>
      <c r="R19" s="11" t="s">
        <v>18</v>
      </c>
      <c r="S19" s="11" t="s">
        <v>19</v>
      </c>
      <c r="T19" s="11">
        <v>2004</v>
      </c>
      <c r="U19" s="11" t="s">
        <v>20</v>
      </c>
    </row>
    <row r="20" spans="1:21" x14ac:dyDescent="0.25">
      <c r="A20" s="10" t="s">
        <v>82</v>
      </c>
      <c r="B20" s="11" t="s">
        <v>10</v>
      </c>
      <c r="C20" s="11" t="s">
        <v>79</v>
      </c>
      <c r="D20" t="s">
        <v>12</v>
      </c>
      <c r="E20" s="11" t="s">
        <v>13</v>
      </c>
      <c r="F20" s="11" t="s">
        <v>14</v>
      </c>
      <c r="G20" s="12" t="s">
        <v>33</v>
      </c>
      <c r="H20" s="12">
        <v>1</v>
      </c>
      <c r="I20" s="12">
        <v>76</v>
      </c>
      <c r="J20" s="12" t="s">
        <v>13</v>
      </c>
      <c r="K20" s="12" t="s">
        <v>15</v>
      </c>
      <c r="L20" s="12">
        <v>1200</v>
      </c>
      <c r="M20" s="11" t="s">
        <v>16</v>
      </c>
      <c r="N20" s="12" t="s">
        <v>17</v>
      </c>
      <c r="P20" s="11">
        <v>500</v>
      </c>
      <c r="Q20" s="11">
        <v>400</v>
      </c>
      <c r="R20" s="11" t="s">
        <v>83</v>
      </c>
      <c r="S20" s="11" t="s">
        <v>67</v>
      </c>
      <c r="T20" s="11">
        <v>1995</v>
      </c>
      <c r="U20" s="11" t="s">
        <v>20</v>
      </c>
    </row>
    <row r="21" spans="1:21" x14ac:dyDescent="0.25">
      <c r="A21" s="10" t="s">
        <v>85</v>
      </c>
      <c r="B21" s="11" t="s">
        <v>10</v>
      </c>
      <c r="C21" s="11" t="s">
        <v>81</v>
      </c>
      <c r="D21" t="s">
        <v>12</v>
      </c>
      <c r="E21" s="11" t="s">
        <v>13</v>
      </c>
      <c r="F21" s="11" t="s">
        <v>14</v>
      </c>
      <c r="G21" s="12" t="s">
        <v>33</v>
      </c>
      <c r="H21" s="12">
        <v>1</v>
      </c>
      <c r="I21" s="12">
        <v>76</v>
      </c>
      <c r="J21" s="12" t="s">
        <v>13</v>
      </c>
      <c r="K21" s="12" t="s">
        <v>15</v>
      </c>
      <c r="L21" s="12">
        <v>1200</v>
      </c>
      <c r="M21" s="11" t="s">
        <v>16</v>
      </c>
      <c r="N21" s="12" t="s">
        <v>17</v>
      </c>
      <c r="P21" s="11">
        <v>600</v>
      </c>
      <c r="Q21" s="11">
        <v>400</v>
      </c>
      <c r="R21" s="11" t="s">
        <v>18</v>
      </c>
      <c r="S21" s="11" t="s">
        <v>19</v>
      </c>
      <c r="T21" s="11">
        <v>2004</v>
      </c>
      <c r="U21" s="11" t="s">
        <v>20</v>
      </c>
    </row>
    <row r="22" spans="1:21" x14ac:dyDescent="0.25">
      <c r="A22" s="10" t="s">
        <v>86</v>
      </c>
      <c r="B22" s="11" t="s">
        <v>24</v>
      </c>
      <c r="C22" s="11" t="s">
        <v>87</v>
      </c>
      <c r="D22" t="s">
        <v>12</v>
      </c>
      <c r="E22" s="11" t="s">
        <v>13</v>
      </c>
      <c r="F22" s="11" t="s">
        <v>14</v>
      </c>
      <c r="G22" s="12" t="s">
        <v>33</v>
      </c>
      <c r="H22" s="12">
        <v>1</v>
      </c>
      <c r="I22" s="12">
        <v>76</v>
      </c>
      <c r="J22" s="12" t="s">
        <v>13</v>
      </c>
      <c r="K22" s="12" t="s">
        <v>63</v>
      </c>
      <c r="L22" s="12">
        <v>2000</v>
      </c>
      <c r="M22" s="11" t="s">
        <v>16</v>
      </c>
      <c r="N22" s="12" t="s">
        <v>17</v>
      </c>
      <c r="P22" s="11">
        <v>750</v>
      </c>
      <c r="Q22" s="11">
        <v>750</v>
      </c>
      <c r="R22" s="11" t="s">
        <v>18</v>
      </c>
      <c r="S22" s="11" t="s">
        <v>19</v>
      </c>
      <c r="T22" s="11">
        <v>2013</v>
      </c>
      <c r="U22" s="11" t="s">
        <v>20</v>
      </c>
    </row>
    <row r="23" spans="1:21" x14ac:dyDescent="0.25">
      <c r="A23" s="10" t="s">
        <v>88</v>
      </c>
      <c r="B23" s="11" t="s">
        <v>24</v>
      </c>
      <c r="C23" s="11"/>
      <c r="D23" t="s">
        <v>12</v>
      </c>
      <c r="E23" s="11" t="s">
        <v>13</v>
      </c>
      <c r="F23" s="11" t="s">
        <v>14</v>
      </c>
      <c r="G23" s="12" t="s">
        <v>33</v>
      </c>
      <c r="H23" s="12">
        <v>1</v>
      </c>
      <c r="I23" s="12">
        <v>76</v>
      </c>
      <c r="J23" s="12" t="s">
        <v>13</v>
      </c>
      <c r="K23" s="12" t="s">
        <v>90</v>
      </c>
      <c r="L23" s="12">
        <v>1800</v>
      </c>
      <c r="M23" s="11" t="s">
        <v>16</v>
      </c>
      <c r="N23" s="12" t="s">
        <v>17</v>
      </c>
      <c r="P23" s="11">
        <v>600</v>
      </c>
      <c r="Q23" s="11">
        <v>600</v>
      </c>
      <c r="R23" s="11" t="s">
        <v>18</v>
      </c>
      <c r="S23" s="11" t="s">
        <v>26</v>
      </c>
      <c r="T23" s="11">
        <v>2004</v>
      </c>
      <c r="U23" s="11" t="s">
        <v>20</v>
      </c>
    </row>
    <row r="24" spans="1:21" x14ac:dyDescent="0.25">
      <c r="A24" s="10" t="s">
        <v>91</v>
      </c>
      <c r="B24" s="11" t="s">
        <v>10</v>
      </c>
      <c r="C24" s="11" t="s">
        <v>92</v>
      </c>
      <c r="D24" t="s">
        <v>12</v>
      </c>
      <c r="E24" s="11" t="s">
        <v>13</v>
      </c>
      <c r="F24" s="11" t="s">
        <v>14</v>
      </c>
      <c r="G24" s="12" t="s">
        <v>33</v>
      </c>
      <c r="H24" s="12">
        <v>1</v>
      </c>
      <c r="I24" s="12">
        <v>76</v>
      </c>
      <c r="J24" s="12" t="s">
        <v>13</v>
      </c>
      <c r="K24" s="12" t="s">
        <v>93</v>
      </c>
      <c r="L24" s="12">
        <v>2100</v>
      </c>
      <c r="M24" s="11" t="s">
        <v>16</v>
      </c>
      <c r="N24" s="12" t="s">
        <v>17</v>
      </c>
      <c r="P24" s="11">
        <v>600</v>
      </c>
      <c r="Q24" s="11">
        <v>600</v>
      </c>
      <c r="R24" s="11" t="s">
        <v>18</v>
      </c>
      <c r="S24" s="11" t="s">
        <v>19</v>
      </c>
      <c r="T24" s="11" t="s">
        <v>55</v>
      </c>
      <c r="U24" s="11" t="s">
        <v>20</v>
      </c>
    </row>
    <row r="25" spans="1:21" x14ac:dyDescent="0.25">
      <c r="A25" s="10" t="s">
        <v>94</v>
      </c>
      <c r="B25" s="11" t="s">
        <v>32</v>
      </c>
      <c r="C25" s="11" t="s">
        <v>32</v>
      </c>
      <c r="D25" t="s">
        <v>12</v>
      </c>
      <c r="E25" s="11" t="s">
        <v>13</v>
      </c>
      <c r="F25" s="11" t="s">
        <v>14</v>
      </c>
      <c r="G25" s="12" t="s">
        <v>33</v>
      </c>
      <c r="H25" s="12">
        <v>3</v>
      </c>
      <c r="I25" s="12">
        <v>89</v>
      </c>
      <c r="J25" s="12">
        <v>900</v>
      </c>
      <c r="K25" s="12" t="s">
        <v>15</v>
      </c>
      <c r="L25" s="12">
        <v>700</v>
      </c>
      <c r="M25" s="11" t="s">
        <v>16</v>
      </c>
      <c r="N25" s="12" t="s">
        <v>17</v>
      </c>
      <c r="P25" s="11">
        <v>2410</v>
      </c>
      <c r="Q25" s="11">
        <v>1340</v>
      </c>
      <c r="R25" s="11" t="s">
        <v>18</v>
      </c>
      <c r="S25" s="11" t="s">
        <v>35</v>
      </c>
      <c r="T25" s="11">
        <v>2007</v>
      </c>
      <c r="U25" s="11" t="s">
        <v>20</v>
      </c>
    </row>
    <row r="26" spans="1:21" x14ac:dyDescent="0.25">
      <c r="A26" s="10" t="s">
        <v>96</v>
      </c>
      <c r="B26" s="11" t="s">
        <v>32</v>
      </c>
      <c r="C26" s="11" t="s">
        <v>32</v>
      </c>
      <c r="D26" t="s">
        <v>12</v>
      </c>
      <c r="E26" s="11" t="s">
        <v>13</v>
      </c>
      <c r="F26" s="11" t="s">
        <v>14</v>
      </c>
      <c r="G26" s="12" t="s">
        <v>33</v>
      </c>
      <c r="H26" s="12">
        <v>2</v>
      </c>
      <c r="I26" s="12">
        <v>76</v>
      </c>
      <c r="J26" s="12">
        <v>1300</v>
      </c>
      <c r="K26" s="12" t="s">
        <v>98</v>
      </c>
      <c r="L26" s="12">
        <v>700</v>
      </c>
      <c r="M26" s="11" t="s">
        <v>16</v>
      </c>
      <c r="N26" s="12" t="s">
        <v>17</v>
      </c>
      <c r="P26" s="11">
        <v>2400</v>
      </c>
      <c r="Q26" s="11">
        <v>800</v>
      </c>
      <c r="R26" s="11" t="s">
        <v>18</v>
      </c>
      <c r="S26" s="11" t="s">
        <v>35</v>
      </c>
      <c r="T26" s="11">
        <v>2007</v>
      </c>
      <c r="U26" s="11" t="s">
        <v>20</v>
      </c>
    </row>
    <row r="27" spans="1:21" x14ac:dyDescent="0.25">
      <c r="A27" s="10" t="s">
        <v>99</v>
      </c>
      <c r="B27" s="11" t="s">
        <v>32</v>
      </c>
      <c r="C27" s="11" t="s">
        <v>32</v>
      </c>
      <c r="D27" t="s">
        <v>12</v>
      </c>
      <c r="E27" s="11" t="s">
        <v>13</v>
      </c>
      <c r="F27" s="11" t="s">
        <v>14</v>
      </c>
      <c r="G27" s="12" t="s">
        <v>33</v>
      </c>
      <c r="H27" s="12">
        <v>2</v>
      </c>
      <c r="I27" s="12">
        <v>76</v>
      </c>
      <c r="J27" s="12">
        <v>1350</v>
      </c>
      <c r="K27" s="12" t="s">
        <v>15</v>
      </c>
      <c r="L27" s="12">
        <v>700</v>
      </c>
      <c r="M27" s="11" t="s">
        <v>16</v>
      </c>
      <c r="N27" s="12" t="s">
        <v>17</v>
      </c>
      <c r="P27" s="11">
        <v>1820</v>
      </c>
      <c r="Q27" s="11">
        <v>800</v>
      </c>
      <c r="R27" s="11" t="s">
        <v>18</v>
      </c>
      <c r="S27" s="11" t="s">
        <v>35</v>
      </c>
      <c r="T27" s="11">
        <v>2007</v>
      </c>
      <c r="U27" s="11" t="s">
        <v>20</v>
      </c>
    </row>
    <row r="28" spans="1:21" x14ac:dyDescent="0.25">
      <c r="A28" s="10" t="s">
        <v>101</v>
      </c>
      <c r="B28" s="11" t="s">
        <v>32</v>
      </c>
      <c r="C28" s="11" t="s">
        <v>32</v>
      </c>
      <c r="D28" t="s">
        <v>12</v>
      </c>
      <c r="E28" s="11" t="s">
        <v>13</v>
      </c>
      <c r="F28" s="11" t="s">
        <v>14</v>
      </c>
      <c r="G28" s="12" t="s">
        <v>33</v>
      </c>
      <c r="H28" s="12">
        <v>2</v>
      </c>
      <c r="I28" s="12">
        <v>76</v>
      </c>
      <c r="J28" s="12">
        <v>1000</v>
      </c>
      <c r="K28" s="12" t="s">
        <v>15</v>
      </c>
      <c r="L28" s="12">
        <v>600</v>
      </c>
      <c r="M28" s="11" t="s">
        <v>16</v>
      </c>
      <c r="N28" s="12" t="s">
        <v>17</v>
      </c>
      <c r="P28" s="11">
        <v>1540</v>
      </c>
      <c r="Q28" s="11">
        <v>760</v>
      </c>
      <c r="R28" s="11" t="s">
        <v>18</v>
      </c>
      <c r="S28" s="11" t="s">
        <v>35</v>
      </c>
      <c r="T28" s="11">
        <v>2007</v>
      </c>
      <c r="U28" s="11" t="s">
        <v>20</v>
      </c>
    </row>
    <row r="29" spans="1:21" x14ac:dyDescent="0.25">
      <c r="A29" s="10" t="s">
        <v>103</v>
      </c>
      <c r="B29" s="11" t="s">
        <v>24</v>
      </c>
      <c r="C29" s="11" t="s">
        <v>87</v>
      </c>
      <c r="D29" t="s">
        <v>12</v>
      </c>
      <c r="E29" s="11" t="s">
        <v>13</v>
      </c>
      <c r="F29" s="11" t="s">
        <v>14</v>
      </c>
      <c r="H29" s="12">
        <v>1</v>
      </c>
      <c r="I29" s="12">
        <v>76</v>
      </c>
      <c r="J29" s="12" t="s">
        <v>13</v>
      </c>
      <c r="K29" s="12" t="s">
        <v>90</v>
      </c>
      <c r="L29" s="12">
        <v>1600</v>
      </c>
      <c r="M29" s="11" t="s">
        <v>16</v>
      </c>
      <c r="N29" s="12" t="s">
        <v>17</v>
      </c>
      <c r="P29" s="11">
        <v>750</v>
      </c>
      <c r="Q29" s="11">
        <v>750</v>
      </c>
      <c r="R29" s="11" t="s">
        <v>60</v>
      </c>
      <c r="S29" s="11" t="s">
        <v>55</v>
      </c>
      <c r="T29" s="11" t="s">
        <v>55</v>
      </c>
      <c r="U29" s="11" t="s">
        <v>20</v>
      </c>
    </row>
    <row r="30" spans="1:21" x14ac:dyDescent="0.25">
      <c r="A30" s="10" t="s">
        <v>105</v>
      </c>
      <c r="B30" s="11" t="s">
        <v>24</v>
      </c>
      <c r="C30" s="11" t="s">
        <v>24</v>
      </c>
      <c r="D30" t="s">
        <v>12</v>
      </c>
      <c r="E30" s="11" t="s">
        <v>13</v>
      </c>
      <c r="F30" s="11" t="s">
        <v>14</v>
      </c>
      <c r="H30" s="12">
        <v>1</v>
      </c>
      <c r="I30" s="12">
        <v>76</v>
      </c>
      <c r="J30" s="12" t="s">
        <v>13</v>
      </c>
      <c r="K30" s="12" t="s">
        <v>63</v>
      </c>
      <c r="L30" s="12">
        <v>1900</v>
      </c>
      <c r="M30" s="11" t="s">
        <v>16</v>
      </c>
      <c r="N30" s="12" t="s">
        <v>17</v>
      </c>
      <c r="P30" s="11">
        <v>600</v>
      </c>
      <c r="Q30" s="11">
        <v>600</v>
      </c>
      <c r="R30" s="11" t="s">
        <v>18</v>
      </c>
      <c r="S30" s="11" t="s">
        <v>19</v>
      </c>
      <c r="T30" s="11">
        <v>2015</v>
      </c>
      <c r="U30" s="11" t="s">
        <v>20</v>
      </c>
    </row>
    <row r="31" spans="1:21" x14ac:dyDescent="0.25">
      <c r="A31" s="10" t="s">
        <v>106</v>
      </c>
      <c r="B31" s="11" t="s">
        <v>10</v>
      </c>
      <c r="C31" s="11" t="s">
        <v>11</v>
      </c>
      <c r="D31" t="s">
        <v>12</v>
      </c>
      <c r="E31" s="11" t="s">
        <v>13</v>
      </c>
      <c r="F31" s="11" t="s">
        <v>14</v>
      </c>
      <c r="G31" s="12" t="s">
        <v>33</v>
      </c>
      <c r="H31" s="12">
        <v>1</v>
      </c>
      <c r="I31" s="12">
        <v>76</v>
      </c>
      <c r="J31" s="12" t="s">
        <v>13</v>
      </c>
      <c r="K31" s="12" t="s">
        <v>63</v>
      </c>
      <c r="L31" s="12">
        <v>2100</v>
      </c>
      <c r="M31" s="11" t="s">
        <v>16</v>
      </c>
      <c r="N31" s="12" t="s">
        <v>17</v>
      </c>
      <c r="P31" s="11">
        <v>600</v>
      </c>
      <c r="Q31" s="11">
        <v>600</v>
      </c>
      <c r="R31" s="11" t="s">
        <v>18</v>
      </c>
      <c r="S31" s="11" t="s">
        <v>29</v>
      </c>
      <c r="T31" s="11" t="s">
        <v>55</v>
      </c>
      <c r="U31" s="11" t="s">
        <v>20</v>
      </c>
    </row>
    <row r="32" spans="1:21" x14ac:dyDescent="0.25">
      <c r="A32" s="10" t="s">
        <v>107</v>
      </c>
      <c r="B32" s="11" t="s">
        <v>32</v>
      </c>
      <c r="C32" s="11" t="s">
        <v>32</v>
      </c>
      <c r="D32" t="s">
        <v>12</v>
      </c>
      <c r="E32" s="11" t="s">
        <v>13</v>
      </c>
      <c r="F32" s="11" t="s">
        <v>14</v>
      </c>
      <c r="G32" s="12" t="s">
        <v>33</v>
      </c>
      <c r="H32" s="12">
        <v>2</v>
      </c>
      <c r="I32" s="12">
        <v>76</v>
      </c>
      <c r="J32" s="12">
        <v>850</v>
      </c>
      <c r="K32" s="12" t="s">
        <v>15</v>
      </c>
      <c r="L32" s="12">
        <v>1300</v>
      </c>
      <c r="M32" s="11" t="s">
        <v>16</v>
      </c>
      <c r="N32" s="12" t="s">
        <v>17</v>
      </c>
      <c r="P32" s="11">
        <v>1540</v>
      </c>
      <c r="Q32" s="11">
        <v>760</v>
      </c>
      <c r="R32" s="11" t="s">
        <v>18</v>
      </c>
      <c r="S32" s="11" t="s">
        <v>35</v>
      </c>
      <c r="T32" s="11">
        <v>2007</v>
      </c>
      <c r="U32" s="11" t="s">
        <v>20</v>
      </c>
    </row>
    <row r="33" spans="1:21" x14ac:dyDescent="0.25">
      <c r="A33" s="10" t="s">
        <v>108</v>
      </c>
      <c r="B33" s="11" t="s">
        <v>24</v>
      </c>
      <c r="C33" s="11" t="s">
        <v>58</v>
      </c>
      <c r="D33" t="s">
        <v>109</v>
      </c>
      <c r="E33" s="11" t="s">
        <v>20</v>
      </c>
      <c r="F33" s="11" t="s">
        <v>14</v>
      </c>
      <c r="G33" s="12" t="s">
        <v>33</v>
      </c>
      <c r="H33" s="12">
        <v>1</v>
      </c>
      <c r="I33" s="12">
        <v>76</v>
      </c>
      <c r="J33" s="12" t="s">
        <v>13</v>
      </c>
      <c r="K33" s="12" t="s">
        <v>15</v>
      </c>
      <c r="L33" s="12">
        <v>1800</v>
      </c>
      <c r="M33" s="11" t="s">
        <v>16</v>
      </c>
      <c r="N33" s="12" t="s">
        <v>17</v>
      </c>
      <c r="P33" s="11">
        <v>450</v>
      </c>
      <c r="Q33" s="11">
        <v>450</v>
      </c>
      <c r="R33" s="11" t="s">
        <v>18</v>
      </c>
      <c r="S33" s="11" t="s">
        <v>110</v>
      </c>
      <c r="T33" s="11">
        <v>2004</v>
      </c>
      <c r="U33" s="11" t="s">
        <v>20</v>
      </c>
    </row>
    <row r="34" spans="1:21" x14ac:dyDescent="0.25">
      <c r="A34" s="10" t="s">
        <v>111</v>
      </c>
      <c r="B34" s="11" t="s">
        <v>73</v>
      </c>
      <c r="C34" s="11" t="s">
        <v>114</v>
      </c>
      <c r="D34" t="s">
        <v>39</v>
      </c>
      <c r="E34" s="11" t="s">
        <v>20</v>
      </c>
      <c r="F34" s="11" t="s">
        <v>14</v>
      </c>
      <c r="G34" s="12" t="s">
        <v>17</v>
      </c>
      <c r="H34" s="12">
        <v>2</v>
      </c>
      <c r="I34" s="12">
        <v>139</v>
      </c>
      <c r="J34" s="12">
        <v>400</v>
      </c>
      <c r="K34" s="12" t="s">
        <v>15</v>
      </c>
      <c r="L34" s="12">
        <v>1900</v>
      </c>
      <c r="M34" s="11" t="s">
        <v>115</v>
      </c>
      <c r="N34" s="12" t="s">
        <v>33</v>
      </c>
      <c r="P34" s="11">
        <v>1180</v>
      </c>
      <c r="Q34" s="11">
        <v>2670</v>
      </c>
      <c r="R34" s="11" t="s">
        <v>34</v>
      </c>
      <c r="S34" s="11" t="s">
        <v>67</v>
      </c>
      <c r="T34" s="11">
        <v>2006</v>
      </c>
      <c r="U34" s="11" t="s">
        <v>20</v>
      </c>
    </row>
    <row r="35" spans="1:21" x14ac:dyDescent="0.25">
      <c r="A35" s="10" t="s">
        <v>116</v>
      </c>
      <c r="B35" s="11" t="s">
        <v>73</v>
      </c>
      <c r="C35" s="11" t="s">
        <v>114</v>
      </c>
      <c r="D35" t="s">
        <v>39</v>
      </c>
      <c r="E35" s="11" t="s">
        <v>20</v>
      </c>
      <c r="F35" s="11" t="s">
        <v>14</v>
      </c>
      <c r="G35" s="12" t="s">
        <v>17</v>
      </c>
      <c r="H35" s="12">
        <v>2</v>
      </c>
      <c r="I35" s="12">
        <v>139</v>
      </c>
      <c r="J35" s="12">
        <v>300</v>
      </c>
      <c r="K35" s="12" t="s">
        <v>63</v>
      </c>
      <c r="L35" s="12">
        <v>2500</v>
      </c>
      <c r="M35" s="11"/>
      <c r="N35" s="12" t="s">
        <v>17</v>
      </c>
      <c r="P35" s="11">
        <v>1180</v>
      </c>
      <c r="Q35" s="11">
        <v>2670</v>
      </c>
      <c r="R35" s="11" t="s">
        <v>18</v>
      </c>
      <c r="S35" s="11" t="s">
        <v>67</v>
      </c>
      <c r="T35" s="11">
        <v>2006</v>
      </c>
      <c r="U35" s="11" t="s">
        <v>20</v>
      </c>
    </row>
    <row r="36" spans="1:21" x14ac:dyDescent="0.25">
      <c r="A36" s="10" t="s">
        <v>118</v>
      </c>
      <c r="B36" s="11" t="s">
        <v>10</v>
      </c>
      <c r="C36" s="11" t="s">
        <v>119</v>
      </c>
      <c r="D36" t="s">
        <v>12</v>
      </c>
      <c r="E36" s="11" t="s">
        <v>13</v>
      </c>
      <c r="F36" s="11" t="s">
        <v>14</v>
      </c>
      <c r="G36" s="12" t="s">
        <v>33</v>
      </c>
      <c r="H36" s="12">
        <v>1</v>
      </c>
      <c r="I36" s="12">
        <v>76</v>
      </c>
      <c r="J36" s="12" t="s">
        <v>13</v>
      </c>
      <c r="K36" s="12" t="s">
        <v>15</v>
      </c>
      <c r="L36" s="12">
        <v>2000</v>
      </c>
      <c r="M36" s="11" t="s">
        <v>16</v>
      </c>
      <c r="N36" s="12" t="s">
        <v>17</v>
      </c>
      <c r="P36" s="11">
        <v>600</v>
      </c>
      <c r="Q36" s="11">
        <v>600</v>
      </c>
      <c r="R36" s="11" t="s">
        <v>60</v>
      </c>
      <c r="S36" s="11" t="s">
        <v>55</v>
      </c>
      <c r="T36" s="11" t="s">
        <v>55</v>
      </c>
      <c r="U36" s="11" t="s">
        <v>20</v>
      </c>
    </row>
    <row r="37" spans="1:21" x14ac:dyDescent="0.25">
      <c r="A37" s="10" t="s">
        <v>120</v>
      </c>
      <c r="B37" s="11" t="s">
        <v>10</v>
      </c>
      <c r="C37" s="11" t="s">
        <v>119</v>
      </c>
      <c r="D37" t="s">
        <v>109</v>
      </c>
      <c r="E37" s="11" t="s">
        <v>20</v>
      </c>
      <c r="F37" s="11" t="s">
        <v>14</v>
      </c>
      <c r="G37" s="12" t="s">
        <v>17</v>
      </c>
      <c r="H37" s="12">
        <v>1</v>
      </c>
      <c r="I37" s="12">
        <v>114</v>
      </c>
      <c r="J37" s="12" t="s">
        <v>13</v>
      </c>
      <c r="K37" s="12" t="s">
        <v>63</v>
      </c>
      <c r="L37" s="12">
        <v>1800</v>
      </c>
      <c r="M37" s="11" t="s">
        <v>16</v>
      </c>
      <c r="N37" s="12" t="s">
        <v>17</v>
      </c>
      <c r="P37" s="11">
        <v>900</v>
      </c>
      <c r="Q37" s="11">
        <v>1225</v>
      </c>
      <c r="R37" s="11" t="s">
        <v>83</v>
      </c>
      <c r="S37" s="11" t="s">
        <v>55</v>
      </c>
      <c r="T37" s="11" t="s">
        <v>55</v>
      </c>
      <c r="U37" s="11" t="s">
        <v>20</v>
      </c>
    </row>
    <row r="38" spans="1:21" x14ac:dyDescent="0.25">
      <c r="A38" s="10" t="s">
        <v>123</v>
      </c>
      <c r="B38" s="11" t="s">
        <v>54</v>
      </c>
      <c r="C38" s="11" t="s">
        <v>70</v>
      </c>
      <c r="D38" t="s">
        <v>39</v>
      </c>
      <c r="E38" s="11" t="s">
        <v>20</v>
      </c>
      <c r="F38" s="11" t="s">
        <v>14</v>
      </c>
      <c r="G38" s="12" t="s">
        <v>17</v>
      </c>
      <c r="H38" s="12">
        <v>2</v>
      </c>
      <c r="I38" s="12">
        <v>76</v>
      </c>
      <c r="J38" s="12">
        <v>900</v>
      </c>
      <c r="K38" s="12" t="s">
        <v>15</v>
      </c>
      <c r="L38" s="12">
        <v>1300</v>
      </c>
      <c r="M38" s="11" t="s">
        <v>115</v>
      </c>
      <c r="N38" s="12" t="s">
        <v>33</v>
      </c>
      <c r="P38" s="11">
        <v>1200</v>
      </c>
      <c r="Q38" s="11">
        <v>900</v>
      </c>
      <c r="R38" s="11" t="s">
        <v>60</v>
      </c>
      <c r="S38" s="11" t="s">
        <v>55</v>
      </c>
      <c r="T38" s="11" t="s">
        <v>55</v>
      </c>
      <c r="U38" s="11" t="s">
        <v>20</v>
      </c>
    </row>
    <row r="39" spans="1:21" x14ac:dyDescent="0.25">
      <c r="A39" s="10" t="s">
        <v>124</v>
      </c>
      <c r="B39" s="11" t="s">
        <v>10</v>
      </c>
      <c r="C39" s="11" t="s">
        <v>119</v>
      </c>
      <c r="D39" t="s">
        <v>109</v>
      </c>
      <c r="E39" s="11" t="s">
        <v>20</v>
      </c>
      <c r="F39" s="11" t="s">
        <v>14</v>
      </c>
      <c r="G39" s="12" t="s">
        <v>17</v>
      </c>
      <c r="H39" s="12">
        <v>1</v>
      </c>
      <c r="I39" s="12">
        <v>114</v>
      </c>
      <c r="J39" s="12" t="s">
        <v>13</v>
      </c>
      <c r="K39" s="12" t="s">
        <v>63</v>
      </c>
      <c r="L39" s="12">
        <v>1900</v>
      </c>
      <c r="M39" s="11" t="s">
        <v>16</v>
      </c>
      <c r="N39" s="12" t="s">
        <v>33</v>
      </c>
      <c r="P39" s="11">
        <v>900</v>
      </c>
      <c r="Q39" s="11">
        <v>1225</v>
      </c>
      <c r="R39" s="11" t="s">
        <v>34</v>
      </c>
      <c r="S39" s="11" t="s">
        <v>36</v>
      </c>
      <c r="T39" s="11" t="s">
        <v>55</v>
      </c>
      <c r="U39" s="11" t="s">
        <v>20</v>
      </c>
    </row>
    <row r="40" spans="1:21" x14ac:dyDescent="0.25">
      <c r="A40" s="10" t="s">
        <v>125</v>
      </c>
      <c r="B40" s="11" t="s">
        <v>10</v>
      </c>
      <c r="C40" s="11" t="s">
        <v>126</v>
      </c>
      <c r="D40" t="s">
        <v>109</v>
      </c>
      <c r="E40" s="11" t="s">
        <v>20</v>
      </c>
      <c r="F40" s="11" t="s">
        <v>14</v>
      </c>
      <c r="G40" s="12" t="s">
        <v>17</v>
      </c>
      <c r="H40" s="12">
        <v>1</v>
      </c>
      <c r="I40" s="12">
        <v>76</v>
      </c>
      <c r="J40" s="12" t="s">
        <v>13</v>
      </c>
      <c r="K40" s="12" t="s">
        <v>15</v>
      </c>
      <c r="L40" s="12">
        <v>2100</v>
      </c>
      <c r="M40" s="11" t="s">
        <v>127</v>
      </c>
      <c r="N40" s="12" t="s">
        <v>33</v>
      </c>
      <c r="P40" s="11">
        <v>900</v>
      </c>
      <c r="Q40" s="11">
        <v>900</v>
      </c>
      <c r="R40" s="11" t="s">
        <v>34</v>
      </c>
      <c r="S40" s="11" t="s">
        <v>55</v>
      </c>
      <c r="T40" s="11" t="s">
        <v>55</v>
      </c>
      <c r="U40" s="11" t="s">
        <v>20</v>
      </c>
    </row>
    <row r="41" spans="1:21" x14ac:dyDescent="0.25">
      <c r="A41" s="10" t="s">
        <v>128</v>
      </c>
      <c r="B41" s="11" t="s">
        <v>24</v>
      </c>
      <c r="C41" s="11" t="s">
        <v>129</v>
      </c>
      <c r="D41" t="s">
        <v>109</v>
      </c>
      <c r="E41" s="11" t="s">
        <v>20</v>
      </c>
      <c r="F41" s="11" t="s">
        <v>14</v>
      </c>
      <c r="G41" s="12" t="s">
        <v>17</v>
      </c>
      <c r="H41" s="12">
        <v>1</v>
      </c>
      <c r="I41" s="12">
        <v>76</v>
      </c>
      <c r="J41" s="12" t="s">
        <v>13</v>
      </c>
      <c r="K41" s="12" t="s">
        <v>15</v>
      </c>
      <c r="L41" s="12">
        <v>2200</v>
      </c>
      <c r="M41" s="11" t="s">
        <v>16</v>
      </c>
      <c r="N41" s="12" t="s">
        <v>33</v>
      </c>
      <c r="P41" s="11">
        <v>450</v>
      </c>
      <c r="Q41" s="11">
        <v>450</v>
      </c>
      <c r="R41" s="11" t="s">
        <v>18</v>
      </c>
      <c r="S41" s="11" t="s">
        <v>110</v>
      </c>
      <c r="T41" s="11">
        <v>2004</v>
      </c>
      <c r="U41" s="11" t="s">
        <v>20</v>
      </c>
    </row>
    <row r="42" spans="1:21" x14ac:dyDescent="0.25">
      <c r="A42" s="10" t="s">
        <v>130</v>
      </c>
      <c r="B42" s="11" t="s">
        <v>32</v>
      </c>
      <c r="C42" s="11" t="s">
        <v>38</v>
      </c>
      <c r="D42" t="s">
        <v>12</v>
      </c>
      <c r="E42" s="11" t="s">
        <v>13</v>
      </c>
      <c r="F42" s="11" t="s">
        <v>14</v>
      </c>
      <c r="G42" s="12" t="s">
        <v>33</v>
      </c>
      <c r="H42" s="12">
        <v>3</v>
      </c>
      <c r="I42" s="12">
        <v>89</v>
      </c>
      <c r="J42" s="12">
        <v>900</v>
      </c>
      <c r="K42" s="12" t="s">
        <v>15</v>
      </c>
      <c r="L42" s="12">
        <v>500</v>
      </c>
      <c r="M42" s="11" t="s">
        <v>16</v>
      </c>
      <c r="N42" s="12" t="s">
        <v>33</v>
      </c>
      <c r="P42" s="11">
        <v>2700</v>
      </c>
      <c r="Q42" s="11">
        <v>1540</v>
      </c>
      <c r="R42" s="11" t="s">
        <v>18</v>
      </c>
      <c r="S42" s="11" t="s">
        <v>35</v>
      </c>
      <c r="T42" s="11">
        <v>2007</v>
      </c>
      <c r="U42" s="11" t="s">
        <v>20</v>
      </c>
    </row>
    <row r="43" spans="1:21" x14ac:dyDescent="0.25">
      <c r="A43" s="10" t="s">
        <v>132</v>
      </c>
      <c r="B43" s="11" t="s">
        <v>24</v>
      </c>
      <c r="C43" s="11" t="s">
        <v>87</v>
      </c>
      <c r="D43" t="s">
        <v>12</v>
      </c>
      <c r="E43" s="11" t="s">
        <v>13</v>
      </c>
      <c r="F43" s="11" t="s">
        <v>14</v>
      </c>
      <c r="G43" s="12" t="s">
        <v>33</v>
      </c>
      <c r="H43" s="12">
        <v>1</v>
      </c>
      <c r="I43" s="12">
        <v>76</v>
      </c>
      <c r="J43" s="12" t="s">
        <v>13</v>
      </c>
      <c r="K43" s="12" t="s">
        <v>63</v>
      </c>
      <c r="L43" s="12">
        <v>1800</v>
      </c>
      <c r="M43" s="11" t="s">
        <v>16</v>
      </c>
      <c r="N43" s="12" t="s">
        <v>33</v>
      </c>
      <c r="P43" s="11">
        <v>750</v>
      </c>
      <c r="Q43" s="11">
        <v>750</v>
      </c>
      <c r="R43" s="11" t="s">
        <v>18</v>
      </c>
      <c r="S43" s="11" t="s">
        <v>19</v>
      </c>
      <c r="T43" s="11" t="s">
        <v>55</v>
      </c>
      <c r="U43" s="11" t="s">
        <v>20</v>
      </c>
    </row>
    <row r="44" spans="1:21" x14ac:dyDescent="0.25">
      <c r="A44" s="10" t="s">
        <v>133</v>
      </c>
      <c r="B44" s="11" t="s">
        <v>24</v>
      </c>
      <c r="C44" s="11" t="s">
        <v>25</v>
      </c>
      <c r="D44" t="s">
        <v>12</v>
      </c>
      <c r="E44" s="11" t="s">
        <v>13</v>
      </c>
      <c r="F44" s="11" t="s">
        <v>14</v>
      </c>
      <c r="G44" s="12" t="s">
        <v>33</v>
      </c>
      <c r="H44" s="12">
        <v>1</v>
      </c>
      <c r="I44" s="12">
        <v>76</v>
      </c>
      <c r="J44" s="12" t="s">
        <v>13</v>
      </c>
      <c r="K44" s="12" t="s">
        <v>15</v>
      </c>
      <c r="L44" s="12">
        <v>1700</v>
      </c>
      <c r="M44" s="11" t="s">
        <v>16</v>
      </c>
      <c r="N44" s="12" t="s">
        <v>17</v>
      </c>
      <c r="P44" s="11">
        <v>600</v>
      </c>
      <c r="Q44" s="11">
        <v>600</v>
      </c>
      <c r="R44" s="11" t="s">
        <v>18</v>
      </c>
      <c r="S44" s="11" t="s">
        <v>19</v>
      </c>
      <c r="T44" s="11">
        <v>2012</v>
      </c>
      <c r="U44" s="11" t="s">
        <v>20</v>
      </c>
    </row>
    <row r="45" spans="1:21" x14ac:dyDescent="0.25">
      <c r="A45" s="10" t="s">
        <v>135</v>
      </c>
      <c r="B45" s="11" t="s">
        <v>10</v>
      </c>
      <c r="C45" s="11" t="s">
        <v>92</v>
      </c>
      <c r="D45" t="s">
        <v>12</v>
      </c>
      <c r="E45" s="11" t="s">
        <v>13</v>
      </c>
      <c r="F45" s="11" t="s">
        <v>14</v>
      </c>
      <c r="G45" s="12" t="s">
        <v>33</v>
      </c>
      <c r="H45" s="12">
        <v>1</v>
      </c>
      <c r="I45" s="12">
        <v>76</v>
      </c>
      <c r="J45" s="12" t="s">
        <v>13</v>
      </c>
      <c r="K45" s="12" t="s">
        <v>90</v>
      </c>
      <c r="L45" s="12">
        <v>2400</v>
      </c>
      <c r="M45" s="11" t="s">
        <v>16</v>
      </c>
      <c r="N45" s="12" t="s">
        <v>17</v>
      </c>
      <c r="P45" s="11">
        <v>600</v>
      </c>
      <c r="Q45" s="11">
        <v>600</v>
      </c>
      <c r="R45" s="11" t="s">
        <v>18</v>
      </c>
      <c r="S45" s="11" t="s">
        <v>19</v>
      </c>
      <c r="T45" s="11" t="s">
        <v>55</v>
      </c>
      <c r="U45" s="11" t="s">
        <v>20</v>
      </c>
    </row>
    <row r="46" spans="1:21" x14ac:dyDescent="0.25">
      <c r="A46" s="10" t="s">
        <v>136</v>
      </c>
      <c r="B46" s="11" t="s">
        <v>24</v>
      </c>
      <c r="C46" s="11" t="s">
        <v>87</v>
      </c>
      <c r="D46" t="s">
        <v>12</v>
      </c>
      <c r="E46" s="11" t="s">
        <v>13</v>
      </c>
      <c r="F46" s="11" t="s">
        <v>14</v>
      </c>
      <c r="G46" s="12" t="s">
        <v>33</v>
      </c>
      <c r="H46" s="12">
        <v>1</v>
      </c>
      <c r="I46" s="12">
        <v>76</v>
      </c>
      <c r="J46" s="12" t="s">
        <v>13</v>
      </c>
      <c r="K46" s="12" t="s">
        <v>15</v>
      </c>
      <c r="L46" s="12">
        <v>2500</v>
      </c>
      <c r="M46" s="11" t="s">
        <v>16</v>
      </c>
      <c r="N46" s="12" t="s">
        <v>17</v>
      </c>
      <c r="P46" s="11">
        <v>750</v>
      </c>
      <c r="Q46" s="11">
        <v>750</v>
      </c>
      <c r="R46" s="11" t="s">
        <v>18</v>
      </c>
      <c r="S46" s="11" t="s">
        <v>55</v>
      </c>
      <c r="T46" s="11" t="s">
        <v>55</v>
      </c>
      <c r="U46" s="11" t="s">
        <v>20</v>
      </c>
    </row>
    <row r="47" spans="1:21" x14ac:dyDescent="0.25">
      <c r="A47" s="10" t="s">
        <v>137</v>
      </c>
      <c r="B47" s="11" t="s">
        <v>32</v>
      </c>
      <c r="C47" s="11" t="s">
        <v>32</v>
      </c>
      <c r="D47" t="s">
        <v>39</v>
      </c>
      <c r="E47" s="11" t="s">
        <v>20</v>
      </c>
      <c r="F47" s="11" t="s">
        <v>14</v>
      </c>
      <c r="G47" s="12" t="s">
        <v>17</v>
      </c>
      <c r="H47" s="12">
        <v>2</v>
      </c>
      <c r="I47" s="12">
        <v>76</v>
      </c>
      <c r="J47" s="12">
        <v>1400</v>
      </c>
      <c r="K47" s="12" t="s">
        <v>15</v>
      </c>
      <c r="L47" s="12">
        <v>1400</v>
      </c>
      <c r="M47" s="11" t="s">
        <v>139</v>
      </c>
      <c r="N47" s="12" t="s">
        <v>33</v>
      </c>
      <c r="P47" s="11">
        <v>2050</v>
      </c>
      <c r="Q47" s="11">
        <v>760</v>
      </c>
      <c r="R47" s="11" t="s">
        <v>34</v>
      </c>
      <c r="S47" s="11" t="s">
        <v>35</v>
      </c>
      <c r="T47" s="11">
        <v>2007</v>
      </c>
      <c r="U47" s="11" t="s">
        <v>20</v>
      </c>
    </row>
    <row r="48" spans="1:21" x14ac:dyDescent="0.25">
      <c r="A48" s="10" t="s">
        <v>140</v>
      </c>
      <c r="B48" s="11" t="s">
        <v>32</v>
      </c>
      <c r="C48" s="11" t="s">
        <v>32</v>
      </c>
      <c r="D48" t="s">
        <v>39</v>
      </c>
      <c r="E48" s="11" t="s">
        <v>20</v>
      </c>
      <c r="F48" s="11" t="s">
        <v>14</v>
      </c>
      <c r="G48" s="12" t="s">
        <v>17</v>
      </c>
      <c r="H48" s="12">
        <v>2</v>
      </c>
      <c r="I48" s="12">
        <v>76</v>
      </c>
      <c r="J48" s="12">
        <v>1300</v>
      </c>
      <c r="K48" s="12" t="s">
        <v>15</v>
      </c>
      <c r="L48" s="12">
        <v>300</v>
      </c>
      <c r="M48" s="11"/>
      <c r="N48" s="12" t="s">
        <v>33</v>
      </c>
      <c r="P48" s="11">
        <v>2050</v>
      </c>
      <c r="Q48" s="11">
        <v>760</v>
      </c>
      <c r="R48" s="11" t="s">
        <v>18</v>
      </c>
      <c r="S48" s="11" t="s">
        <v>35</v>
      </c>
      <c r="T48" s="11">
        <v>2007</v>
      </c>
      <c r="U48" s="11" t="s">
        <v>20</v>
      </c>
    </row>
    <row r="49" spans="1:21" x14ac:dyDescent="0.25">
      <c r="A49" s="10" t="s">
        <v>142</v>
      </c>
      <c r="B49" s="11" t="s">
        <v>24</v>
      </c>
      <c r="C49" s="11" t="s">
        <v>143</v>
      </c>
      <c r="D49" t="s">
        <v>12</v>
      </c>
      <c r="E49" s="11" t="s">
        <v>13</v>
      </c>
      <c r="F49" s="11" t="s">
        <v>14</v>
      </c>
      <c r="G49" s="12" t="s">
        <v>33</v>
      </c>
      <c r="H49" s="12">
        <v>1</v>
      </c>
      <c r="I49" s="12">
        <v>76</v>
      </c>
      <c r="J49" s="12" t="s">
        <v>13</v>
      </c>
      <c r="K49" s="12" t="s">
        <v>15</v>
      </c>
      <c r="L49" s="12">
        <v>1800</v>
      </c>
      <c r="M49" s="11" t="s">
        <v>16</v>
      </c>
      <c r="N49" s="12" t="s">
        <v>17</v>
      </c>
      <c r="P49" s="11">
        <v>450</v>
      </c>
      <c r="Q49" s="11">
        <v>450</v>
      </c>
      <c r="R49" s="11" t="s">
        <v>18</v>
      </c>
      <c r="S49" s="11" t="s">
        <v>19</v>
      </c>
      <c r="T49" s="11">
        <v>2015</v>
      </c>
      <c r="U49" s="11" t="s">
        <v>20</v>
      </c>
    </row>
    <row r="50" spans="1:21" x14ac:dyDescent="0.25">
      <c r="A50" s="10" t="s">
        <v>144</v>
      </c>
      <c r="B50" s="11" t="s">
        <v>10</v>
      </c>
      <c r="C50" s="11" t="s">
        <v>145</v>
      </c>
      <c r="D50" t="s">
        <v>12</v>
      </c>
      <c r="E50" s="11" t="s">
        <v>13</v>
      </c>
      <c r="F50" s="11" t="s">
        <v>14</v>
      </c>
      <c r="G50" s="12" t="s">
        <v>33</v>
      </c>
      <c r="H50" s="12">
        <v>1</v>
      </c>
      <c r="I50" s="12">
        <v>76</v>
      </c>
      <c r="J50" s="12" t="s">
        <v>13</v>
      </c>
      <c r="K50" s="12" t="s">
        <v>15</v>
      </c>
      <c r="L50" s="12">
        <v>1800</v>
      </c>
      <c r="M50" s="11" t="s">
        <v>16</v>
      </c>
      <c r="N50" s="12" t="s">
        <v>17</v>
      </c>
      <c r="P50" s="11">
        <v>600</v>
      </c>
      <c r="Q50" s="11">
        <v>600</v>
      </c>
      <c r="R50" s="11" t="s">
        <v>18</v>
      </c>
      <c r="S50" s="11" t="s">
        <v>55</v>
      </c>
      <c r="T50" s="11" t="s">
        <v>55</v>
      </c>
      <c r="U50" s="11" t="s">
        <v>20</v>
      </c>
    </row>
    <row r="51" spans="1:21" x14ac:dyDescent="0.25">
      <c r="A51" s="10" t="s">
        <v>146</v>
      </c>
      <c r="B51" s="11" t="s">
        <v>73</v>
      </c>
      <c r="C51" s="11" t="s">
        <v>149</v>
      </c>
      <c r="D51" t="s">
        <v>39</v>
      </c>
      <c r="E51" s="11" t="s">
        <v>20</v>
      </c>
      <c r="F51" s="11" t="s">
        <v>14</v>
      </c>
      <c r="G51" s="12" t="s">
        <v>17</v>
      </c>
      <c r="H51" s="12">
        <v>2</v>
      </c>
      <c r="I51" s="12">
        <v>89</v>
      </c>
      <c r="J51" s="12">
        <v>300</v>
      </c>
      <c r="K51" s="12" t="s">
        <v>90</v>
      </c>
      <c r="L51" s="12">
        <v>2200</v>
      </c>
      <c r="M51" s="11" t="s">
        <v>16</v>
      </c>
      <c r="N51" s="12" t="s">
        <v>17</v>
      </c>
      <c r="P51" s="11">
        <v>1165</v>
      </c>
      <c r="Q51" s="11">
        <v>1520</v>
      </c>
      <c r="R51" s="11" t="s">
        <v>83</v>
      </c>
      <c r="S51" s="11" t="s">
        <v>67</v>
      </c>
      <c r="T51" s="11">
        <v>2011</v>
      </c>
      <c r="U51" s="11" t="s">
        <v>20</v>
      </c>
    </row>
    <row r="52" spans="1:21" x14ac:dyDescent="0.25">
      <c r="A52" s="10" t="s">
        <v>150</v>
      </c>
      <c r="B52" s="11" t="s">
        <v>73</v>
      </c>
      <c r="C52" s="11" t="s">
        <v>149</v>
      </c>
      <c r="D52" t="s">
        <v>39</v>
      </c>
      <c r="E52" s="11" t="s">
        <v>20</v>
      </c>
      <c r="F52" s="11" t="s">
        <v>14</v>
      </c>
      <c r="G52" s="12" t="s">
        <v>17</v>
      </c>
      <c r="H52" s="12">
        <v>2</v>
      </c>
      <c r="I52" s="12">
        <v>89</v>
      </c>
      <c r="J52" s="12">
        <v>250</v>
      </c>
      <c r="K52" s="12" t="s">
        <v>63</v>
      </c>
      <c r="L52" s="12">
        <v>2200</v>
      </c>
      <c r="M52" s="11" t="s">
        <v>16</v>
      </c>
      <c r="N52" s="12" t="s">
        <v>17</v>
      </c>
      <c r="P52" s="11">
        <v>1165</v>
      </c>
      <c r="Q52" s="11">
        <v>1520</v>
      </c>
      <c r="R52" s="11" t="s">
        <v>83</v>
      </c>
      <c r="S52" s="11" t="s">
        <v>67</v>
      </c>
      <c r="T52" s="11">
        <v>2011</v>
      </c>
      <c r="U52" s="11" t="s">
        <v>20</v>
      </c>
    </row>
    <row r="53" spans="1:21" x14ac:dyDescent="0.25">
      <c r="A53" s="10" t="s">
        <v>152</v>
      </c>
      <c r="B53" s="11" t="s">
        <v>10</v>
      </c>
      <c r="C53" s="11" t="s">
        <v>126</v>
      </c>
      <c r="D53" t="s">
        <v>12</v>
      </c>
      <c r="E53" s="11" t="s">
        <v>13</v>
      </c>
      <c r="F53" s="11" t="s">
        <v>14</v>
      </c>
      <c r="G53" s="12" t="s">
        <v>33</v>
      </c>
      <c r="H53" s="12">
        <v>1</v>
      </c>
      <c r="I53" s="12">
        <v>76</v>
      </c>
      <c r="J53" s="12" t="s">
        <v>13</v>
      </c>
      <c r="K53" s="12" t="s">
        <v>63</v>
      </c>
      <c r="L53" s="12">
        <v>1900</v>
      </c>
      <c r="M53" s="11" t="s">
        <v>16</v>
      </c>
      <c r="N53" s="12" t="s">
        <v>17</v>
      </c>
      <c r="P53" s="11">
        <v>900</v>
      </c>
      <c r="Q53" s="11">
        <v>900</v>
      </c>
      <c r="R53" s="11" t="s">
        <v>18</v>
      </c>
      <c r="S53" s="11" t="s">
        <v>19</v>
      </c>
      <c r="T53" s="11" t="s">
        <v>55</v>
      </c>
      <c r="U53" s="11" t="s">
        <v>20</v>
      </c>
    </row>
    <row r="54" spans="1:21" x14ac:dyDescent="0.25">
      <c r="A54" s="10" t="s">
        <v>153</v>
      </c>
      <c r="B54" s="11" t="s">
        <v>24</v>
      </c>
      <c r="C54" s="11" t="s">
        <v>24</v>
      </c>
      <c r="D54" t="s">
        <v>12</v>
      </c>
      <c r="E54" s="11" t="s">
        <v>13</v>
      </c>
      <c r="F54" s="11" t="s">
        <v>14</v>
      </c>
      <c r="G54" s="12" t="s">
        <v>33</v>
      </c>
      <c r="H54" s="12">
        <v>1</v>
      </c>
      <c r="I54" s="12">
        <v>76</v>
      </c>
      <c r="J54" s="12" t="s">
        <v>13</v>
      </c>
      <c r="K54" s="12" t="s">
        <v>90</v>
      </c>
      <c r="L54" s="12">
        <v>1900</v>
      </c>
      <c r="M54" s="11" t="s">
        <v>16</v>
      </c>
      <c r="N54" s="12" t="s">
        <v>17</v>
      </c>
      <c r="P54" s="11">
        <v>450</v>
      </c>
      <c r="Q54" s="11">
        <v>450</v>
      </c>
      <c r="R54" s="11" t="s">
        <v>18</v>
      </c>
      <c r="S54" s="11" t="s">
        <v>110</v>
      </c>
      <c r="T54" s="11">
        <v>2004</v>
      </c>
      <c r="U54" s="11" t="s">
        <v>20</v>
      </c>
    </row>
    <row r="55" spans="1:21" x14ac:dyDescent="0.25">
      <c r="A55" s="10" t="s">
        <v>154</v>
      </c>
      <c r="B55" s="11" t="s">
        <v>10</v>
      </c>
      <c r="C55" s="11" t="s">
        <v>155</v>
      </c>
      <c r="D55" t="s">
        <v>12</v>
      </c>
      <c r="E55" s="11" t="s">
        <v>13</v>
      </c>
      <c r="F55" s="11" t="s">
        <v>14</v>
      </c>
      <c r="G55" s="12" t="s">
        <v>33</v>
      </c>
      <c r="H55" s="12">
        <v>1</v>
      </c>
      <c r="I55" s="12">
        <v>76</v>
      </c>
      <c r="J55" s="12" t="s">
        <v>13</v>
      </c>
      <c r="K55" s="12" t="s">
        <v>98</v>
      </c>
      <c r="L55" s="12">
        <v>1800</v>
      </c>
      <c r="M55" s="11" t="s">
        <v>16</v>
      </c>
      <c r="N55" s="12" t="s">
        <v>17</v>
      </c>
      <c r="P55" s="11">
        <v>900</v>
      </c>
      <c r="Q55" s="11">
        <v>900</v>
      </c>
      <c r="R55" s="11" t="s">
        <v>18</v>
      </c>
      <c r="S55" s="11" t="s">
        <v>67</v>
      </c>
      <c r="T55" s="11">
        <v>2008</v>
      </c>
      <c r="U55" s="11" t="s">
        <v>20</v>
      </c>
    </row>
    <row r="56" spans="1:21" x14ac:dyDescent="0.25">
      <c r="A56" s="10" t="s">
        <v>156</v>
      </c>
      <c r="B56" s="11" t="s">
        <v>73</v>
      </c>
      <c r="C56" s="11" t="s">
        <v>149</v>
      </c>
      <c r="D56" t="s">
        <v>39</v>
      </c>
      <c r="E56" s="11" t="s">
        <v>20</v>
      </c>
      <c r="F56" s="11" t="s">
        <v>14</v>
      </c>
      <c r="G56" s="12" t="s">
        <v>17</v>
      </c>
      <c r="H56" s="12">
        <v>2</v>
      </c>
      <c r="I56" s="12">
        <v>76</v>
      </c>
      <c r="J56" s="12">
        <v>750</v>
      </c>
      <c r="K56" s="12" t="s">
        <v>63</v>
      </c>
      <c r="L56" s="12">
        <v>1600</v>
      </c>
      <c r="M56" s="11" t="s">
        <v>16</v>
      </c>
      <c r="N56" s="12" t="s">
        <v>17</v>
      </c>
      <c r="P56" s="11">
        <v>1180</v>
      </c>
      <c r="Q56" s="11">
        <v>1640</v>
      </c>
      <c r="R56" s="11" t="s">
        <v>18</v>
      </c>
      <c r="S56" s="11" t="s">
        <v>19</v>
      </c>
      <c r="T56" s="11">
        <v>2006</v>
      </c>
      <c r="U56" s="11" t="s">
        <v>20</v>
      </c>
    </row>
    <row r="57" spans="1:21" x14ac:dyDescent="0.25">
      <c r="A57" s="10" t="s">
        <v>159</v>
      </c>
      <c r="B57" s="11" t="s">
        <v>161</v>
      </c>
      <c r="C57" s="11" t="s">
        <v>38</v>
      </c>
      <c r="D57" t="s">
        <v>12</v>
      </c>
      <c r="E57" s="11" t="s">
        <v>20</v>
      </c>
      <c r="F57" s="11" t="s">
        <v>14</v>
      </c>
      <c r="G57" s="12" t="s">
        <v>17</v>
      </c>
      <c r="H57" s="12">
        <v>1</v>
      </c>
      <c r="I57" s="12">
        <v>76</v>
      </c>
      <c r="J57" s="12" t="s">
        <v>13</v>
      </c>
      <c r="K57" s="12" t="s">
        <v>63</v>
      </c>
      <c r="L57" s="12">
        <v>1100</v>
      </c>
      <c r="M57" s="11" t="s">
        <v>16</v>
      </c>
      <c r="N57" s="12" t="s">
        <v>17</v>
      </c>
      <c r="P57" s="11">
        <v>610</v>
      </c>
      <c r="Q57" s="11">
        <v>460</v>
      </c>
      <c r="R57" s="11" t="s">
        <v>60</v>
      </c>
      <c r="S57" s="11" t="s">
        <v>55</v>
      </c>
      <c r="T57" s="11" t="s">
        <v>55</v>
      </c>
      <c r="U57" s="11" t="s">
        <v>20</v>
      </c>
    </row>
    <row r="58" spans="1:21" x14ac:dyDescent="0.25">
      <c r="A58" s="10" t="s">
        <v>162</v>
      </c>
      <c r="B58" s="11" t="s">
        <v>10</v>
      </c>
      <c r="C58" s="11" t="s">
        <v>163</v>
      </c>
      <c r="D58" t="s">
        <v>12</v>
      </c>
      <c r="E58" s="11" t="s">
        <v>13</v>
      </c>
      <c r="F58" s="11" t="s">
        <v>14</v>
      </c>
      <c r="G58" s="12" t="s">
        <v>33</v>
      </c>
      <c r="H58" s="12">
        <v>1</v>
      </c>
      <c r="I58" s="12">
        <v>76</v>
      </c>
      <c r="J58" s="12" t="s">
        <v>13</v>
      </c>
      <c r="K58" s="12" t="s">
        <v>93</v>
      </c>
      <c r="L58" s="12">
        <v>1600</v>
      </c>
      <c r="M58" s="11" t="s">
        <v>16</v>
      </c>
      <c r="N58" s="12" t="s">
        <v>17</v>
      </c>
      <c r="P58" s="11">
        <v>900</v>
      </c>
      <c r="Q58" s="11">
        <v>900</v>
      </c>
      <c r="R58" s="11" t="s">
        <v>18</v>
      </c>
      <c r="S58" s="11" t="s">
        <v>67</v>
      </c>
      <c r="T58" s="11">
        <v>2008</v>
      </c>
      <c r="U58" s="11" t="s">
        <v>20</v>
      </c>
    </row>
    <row r="59" spans="1:21" x14ac:dyDescent="0.25">
      <c r="A59" s="10" t="s">
        <v>164</v>
      </c>
      <c r="B59" s="11" t="s">
        <v>10</v>
      </c>
      <c r="C59" s="11" t="s">
        <v>165</v>
      </c>
      <c r="D59" t="s">
        <v>12</v>
      </c>
      <c r="E59" s="11" t="s">
        <v>13</v>
      </c>
      <c r="F59" s="11" t="s">
        <v>14</v>
      </c>
      <c r="G59" s="12" t="s">
        <v>33</v>
      </c>
      <c r="H59" s="12">
        <v>1</v>
      </c>
      <c r="I59" s="12">
        <v>76</v>
      </c>
      <c r="J59" s="12" t="s">
        <v>13</v>
      </c>
      <c r="K59" s="12" t="s">
        <v>90</v>
      </c>
      <c r="L59" s="12">
        <v>1600</v>
      </c>
      <c r="M59" s="11" t="s">
        <v>16</v>
      </c>
      <c r="N59" s="12" t="s">
        <v>17</v>
      </c>
      <c r="P59" s="11">
        <v>900</v>
      </c>
      <c r="Q59" s="11">
        <v>900</v>
      </c>
      <c r="R59" s="11" t="s">
        <v>83</v>
      </c>
      <c r="S59" s="11" t="s">
        <v>67</v>
      </c>
      <c r="T59" s="11">
        <v>2011</v>
      </c>
      <c r="U59" s="11" t="s">
        <v>20</v>
      </c>
    </row>
    <row r="60" spans="1:21" x14ac:dyDescent="0.25">
      <c r="A60" s="10" t="s">
        <v>166</v>
      </c>
      <c r="B60" s="11" t="s">
        <v>10</v>
      </c>
      <c r="C60" s="11" t="s">
        <v>81</v>
      </c>
      <c r="D60" t="s">
        <v>12</v>
      </c>
      <c r="E60" s="11" t="s">
        <v>13</v>
      </c>
      <c r="F60" s="11" t="s">
        <v>14</v>
      </c>
      <c r="G60" s="12" t="s">
        <v>33</v>
      </c>
      <c r="H60" s="12">
        <v>1</v>
      </c>
      <c r="I60" s="12">
        <v>76</v>
      </c>
      <c r="J60" s="12" t="s">
        <v>13</v>
      </c>
      <c r="K60" s="12" t="s">
        <v>15</v>
      </c>
      <c r="L60" s="12">
        <v>1200</v>
      </c>
      <c r="M60" s="11" t="s">
        <v>16</v>
      </c>
      <c r="N60" s="12" t="s">
        <v>0</v>
      </c>
      <c r="P60" s="11">
        <v>600</v>
      </c>
      <c r="Q60" s="11">
        <v>400</v>
      </c>
      <c r="R60" s="11" t="s">
        <v>18</v>
      </c>
      <c r="S60" s="11" t="s">
        <v>19</v>
      </c>
      <c r="T60" s="11">
        <v>2004</v>
      </c>
      <c r="U60" s="11" t="s">
        <v>20</v>
      </c>
    </row>
    <row r="61" spans="1:21" x14ac:dyDescent="0.25">
      <c r="A61" s="10" t="s">
        <v>167</v>
      </c>
      <c r="B61" s="11" t="s">
        <v>10</v>
      </c>
      <c r="C61" s="11" t="s">
        <v>79</v>
      </c>
      <c r="D61" t="s">
        <v>12</v>
      </c>
      <c r="E61" s="11" t="s">
        <v>13</v>
      </c>
      <c r="F61" s="11" t="s">
        <v>14</v>
      </c>
      <c r="G61" s="12" t="s">
        <v>33</v>
      </c>
      <c r="H61" s="12">
        <v>1</v>
      </c>
      <c r="I61" s="12">
        <v>76</v>
      </c>
      <c r="J61" s="12" t="s">
        <v>13</v>
      </c>
      <c r="K61" s="12" t="s">
        <v>15</v>
      </c>
      <c r="L61" s="12">
        <v>1200</v>
      </c>
      <c r="M61" s="11" t="s">
        <v>16</v>
      </c>
      <c r="N61" s="12" t="s">
        <v>0</v>
      </c>
      <c r="P61" s="11">
        <v>600</v>
      </c>
      <c r="Q61" s="11">
        <v>400</v>
      </c>
      <c r="R61" s="11" t="s">
        <v>18</v>
      </c>
      <c r="S61" s="11" t="s">
        <v>19</v>
      </c>
      <c r="T61" s="11">
        <v>2004</v>
      </c>
      <c r="U61" s="11" t="s">
        <v>20</v>
      </c>
    </row>
    <row r="62" spans="1:21" x14ac:dyDescent="0.25">
      <c r="A62" s="10" t="s">
        <v>168</v>
      </c>
      <c r="B62" s="11" t="s">
        <v>10</v>
      </c>
      <c r="C62" s="11" t="s">
        <v>81</v>
      </c>
      <c r="D62" t="s">
        <v>12</v>
      </c>
      <c r="E62" s="11" t="s">
        <v>13</v>
      </c>
      <c r="F62" s="11" t="s">
        <v>14</v>
      </c>
      <c r="G62" s="12" t="s">
        <v>33</v>
      </c>
      <c r="H62" s="12">
        <v>1</v>
      </c>
      <c r="I62" s="12">
        <v>76</v>
      </c>
      <c r="J62" s="12" t="s">
        <v>13</v>
      </c>
      <c r="K62" s="12" t="s">
        <v>15</v>
      </c>
      <c r="L62" s="12">
        <v>800</v>
      </c>
      <c r="M62" s="11" t="s">
        <v>16</v>
      </c>
      <c r="N62" s="12" t="s">
        <v>0</v>
      </c>
      <c r="P62" s="11">
        <v>750</v>
      </c>
      <c r="Q62" s="11">
        <v>600</v>
      </c>
      <c r="R62" s="11" t="s">
        <v>18</v>
      </c>
      <c r="S62" s="11" t="s">
        <v>19</v>
      </c>
      <c r="T62" s="11">
        <v>2012</v>
      </c>
      <c r="U62" s="11" t="s">
        <v>20</v>
      </c>
    </row>
    <row r="63" spans="1:21" x14ac:dyDescent="0.25">
      <c r="A63" s="10" t="s">
        <v>169</v>
      </c>
      <c r="B63" s="11" t="s">
        <v>10</v>
      </c>
      <c r="C63" s="11" t="s">
        <v>79</v>
      </c>
      <c r="D63" t="s">
        <v>12</v>
      </c>
      <c r="E63" s="11" t="s">
        <v>13</v>
      </c>
      <c r="F63" s="11" t="s">
        <v>14</v>
      </c>
      <c r="G63" s="12" t="s">
        <v>33</v>
      </c>
      <c r="H63" s="12">
        <v>1</v>
      </c>
      <c r="I63" s="12">
        <v>76</v>
      </c>
      <c r="J63" s="12" t="s">
        <v>13</v>
      </c>
      <c r="K63" s="12" t="s">
        <v>15</v>
      </c>
      <c r="L63" s="12">
        <v>1200</v>
      </c>
      <c r="M63" s="11" t="s">
        <v>16</v>
      </c>
      <c r="N63" s="12" t="s">
        <v>0</v>
      </c>
      <c r="P63" s="11">
        <v>600</v>
      </c>
      <c r="Q63" s="11">
        <v>400</v>
      </c>
      <c r="R63" s="11" t="s">
        <v>18</v>
      </c>
      <c r="S63" s="11" t="s">
        <v>19</v>
      </c>
      <c r="T63" s="11">
        <v>2004</v>
      </c>
      <c r="U63" s="11" t="s">
        <v>20</v>
      </c>
    </row>
    <row r="64" spans="1:21" x14ac:dyDescent="0.25">
      <c r="A64" s="10" t="s">
        <v>170</v>
      </c>
      <c r="B64" s="11" t="s">
        <v>10</v>
      </c>
      <c r="C64" s="11" t="s">
        <v>81</v>
      </c>
      <c r="D64" t="s">
        <v>12</v>
      </c>
      <c r="E64" s="11" t="s">
        <v>13</v>
      </c>
      <c r="F64" s="11" t="s">
        <v>14</v>
      </c>
      <c r="H64" s="12">
        <v>1</v>
      </c>
      <c r="I64" s="12">
        <v>76</v>
      </c>
      <c r="J64" s="12" t="s">
        <v>13</v>
      </c>
      <c r="K64" s="12" t="s">
        <v>15</v>
      </c>
      <c r="L64" s="12">
        <v>1000</v>
      </c>
      <c r="M64" s="11" t="s">
        <v>16</v>
      </c>
      <c r="N64" s="12" t="s">
        <v>0</v>
      </c>
      <c r="P64" s="11">
        <v>600</v>
      </c>
      <c r="Q64" s="11">
        <v>400</v>
      </c>
      <c r="R64" s="11" t="s">
        <v>18</v>
      </c>
      <c r="S64" s="11" t="s">
        <v>19</v>
      </c>
      <c r="T64" s="11">
        <v>2004</v>
      </c>
      <c r="U64" s="11" t="s">
        <v>20</v>
      </c>
    </row>
    <row r="65" spans="1:21" x14ac:dyDescent="0.25">
      <c r="A65" s="10" t="s">
        <v>171</v>
      </c>
      <c r="B65" s="11" t="s">
        <v>10</v>
      </c>
      <c r="C65" s="11" t="s">
        <v>79</v>
      </c>
      <c r="D65" t="s">
        <v>12</v>
      </c>
      <c r="E65" s="11" t="s">
        <v>13</v>
      </c>
      <c r="F65" s="11" t="s">
        <v>14</v>
      </c>
      <c r="G65" s="12" t="s">
        <v>33</v>
      </c>
      <c r="H65" s="12">
        <v>1</v>
      </c>
      <c r="I65" s="12">
        <v>76</v>
      </c>
      <c r="J65" s="12" t="s">
        <v>13</v>
      </c>
      <c r="K65" s="12" t="s">
        <v>15</v>
      </c>
      <c r="L65" s="12">
        <v>1000</v>
      </c>
      <c r="M65" s="11" t="s">
        <v>16</v>
      </c>
      <c r="N65" s="12" t="s">
        <v>0</v>
      </c>
      <c r="P65" s="11">
        <v>600</v>
      </c>
      <c r="Q65" s="11">
        <v>400</v>
      </c>
      <c r="R65" s="11" t="s">
        <v>18</v>
      </c>
      <c r="S65" s="11" t="s">
        <v>19</v>
      </c>
      <c r="T65" s="11">
        <v>2004</v>
      </c>
      <c r="U65" s="11" t="s">
        <v>20</v>
      </c>
    </row>
    <row r="66" spans="1:21" x14ac:dyDescent="0.25">
      <c r="A66" s="10" t="s">
        <v>172</v>
      </c>
      <c r="B66" s="11" t="s">
        <v>10</v>
      </c>
      <c r="C66" s="11" t="s">
        <v>81</v>
      </c>
      <c r="D66" t="s">
        <v>12</v>
      </c>
      <c r="E66" s="11" t="s">
        <v>13</v>
      </c>
      <c r="F66" s="11" t="s">
        <v>14</v>
      </c>
      <c r="H66" s="12">
        <v>1</v>
      </c>
      <c r="I66" s="12">
        <v>76</v>
      </c>
      <c r="J66" s="12" t="s">
        <v>13</v>
      </c>
      <c r="K66" s="12" t="s">
        <v>15</v>
      </c>
      <c r="L66" s="12">
        <v>1000</v>
      </c>
      <c r="M66" s="11" t="s">
        <v>16</v>
      </c>
      <c r="N66" s="12" t="s">
        <v>0</v>
      </c>
      <c r="P66" s="11">
        <v>600</v>
      </c>
      <c r="Q66" s="11">
        <v>400</v>
      </c>
      <c r="R66" s="11" t="s">
        <v>18</v>
      </c>
      <c r="S66" s="11" t="s">
        <v>19</v>
      </c>
      <c r="T66" s="11">
        <v>2004</v>
      </c>
      <c r="U66" s="11" t="s">
        <v>20</v>
      </c>
    </row>
    <row r="67" spans="1:21" x14ac:dyDescent="0.25">
      <c r="A67" s="10" t="s">
        <v>173</v>
      </c>
      <c r="B67" s="11" t="s">
        <v>10</v>
      </c>
      <c r="C67" s="11" t="s">
        <v>79</v>
      </c>
      <c r="D67" t="s">
        <v>12</v>
      </c>
      <c r="E67" s="11" t="s">
        <v>13</v>
      </c>
      <c r="F67" s="11" t="s">
        <v>14</v>
      </c>
      <c r="G67" s="12" t="s">
        <v>33</v>
      </c>
      <c r="H67" s="12">
        <v>1</v>
      </c>
      <c r="I67" s="12">
        <v>76</v>
      </c>
      <c r="J67" s="12" t="s">
        <v>13</v>
      </c>
      <c r="K67" s="12" t="s">
        <v>15</v>
      </c>
      <c r="L67" s="12">
        <v>1000</v>
      </c>
      <c r="M67" s="11" t="s">
        <v>16</v>
      </c>
      <c r="N67" s="12" t="s">
        <v>0</v>
      </c>
      <c r="P67" s="11">
        <v>600</v>
      </c>
      <c r="Q67" s="11">
        <v>400</v>
      </c>
      <c r="R67" s="11" t="s">
        <v>18</v>
      </c>
      <c r="S67" s="11" t="s">
        <v>19</v>
      </c>
      <c r="T67" s="11">
        <v>2004</v>
      </c>
      <c r="U67" s="11" t="s">
        <v>20</v>
      </c>
    </row>
    <row r="68" spans="1:21" x14ac:dyDescent="0.25">
      <c r="A68" s="10" t="s">
        <v>174</v>
      </c>
      <c r="B68" s="11" t="s">
        <v>10</v>
      </c>
      <c r="C68" s="11" t="s">
        <v>81</v>
      </c>
      <c r="D68" t="s">
        <v>12</v>
      </c>
      <c r="E68" s="11" t="s">
        <v>13</v>
      </c>
      <c r="F68" s="11" t="s">
        <v>175</v>
      </c>
      <c r="G68" s="12" t="s">
        <v>33</v>
      </c>
      <c r="H68" s="12">
        <v>1</v>
      </c>
      <c r="I68" s="12">
        <v>76</v>
      </c>
      <c r="J68" s="12" t="s">
        <v>13</v>
      </c>
      <c r="K68" s="12" t="s">
        <v>15</v>
      </c>
      <c r="L68" s="12">
        <v>1100</v>
      </c>
      <c r="M68" s="11" t="s">
        <v>16</v>
      </c>
      <c r="N68" s="12" t="s">
        <v>0</v>
      </c>
      <c r="P68" s="11">
        <v>600</v>
      </c>
      <c r="Q68" s="11">
        <v>400</v>
      </c>
      <c r="R68" s="11" t="s">
        <v>18</v>
      </c>
      <c r="S68" s="11" t="s">
        <v>19</v>
      </c>
      <c r="T68" s="11">
        <v>2004</v>
      </c>
      <c r="U68" s="11" t="s">
        <v>20</v>
      </c>
    </row>
    <row r="69" spans="1:21" x14ac:dyDescent="0.25">
      <c r="A69" s="10" t="s">
        <v>176</v>
      </c>
      <c r="B69" s="11" t="s">
        <v>10</v>
      </c>
      <c r="C69" s="11" t="s">
        <v>79</v>
      </c>
      <c r="D69" t="s">
        <v>12</v>
      </c>
      <c r="E69" s="11" t="s">
        <v>13</v>
      </c>
      <c r="F69" s="11" t="s">
        <v>14</v>
      </c>
      <c r="G69" s="12" t="s">
        <v>33</v>
      </c>
      <c r="H69" s="12">
        <v>1</v>
      </c>
      <c r="I69" s="12">
        <v>76</v>
      </c>
      <c r="J69" s="12" t="s">
        <v>13</v>
      </c>
      <c r="K69" s="12" t="s">
        <v>15</v>
      </c>
      <c r="L69" s="12">
        <v>1100</v>
      </c>
      <c r="M69" s="11" t="s">
        <v>16</v>
      </c>
      <c r="N69" s="12" t="s">
        <v>0</v>
      </c>
      <c r="P69" s="11">
        <v>600</v>
      </c>
      <c r="Q69" s="11">
        <v>400</v>
      </c>
      <c r="R69" s="11" t="s">
        <v>18</v>
      </c>
      <c r="S69" s="11" t="s">
        <v>19</v>
      </c>
      <c r="T69" s="11">
        <v>2004</v>
      </c>
      <c r="U69" s="11" t="s">
        <v>20</v>
      </c>
    </row>
    <row r="70" spans="1:21" x14ac:dyDescent="0.25">
      <c r="A70" s="10" t="s">
        <v>177</v>
      </c>
      <c r="B70" s="11" t="s">
        <v>10</v>
      </c>
      <c r="C70" s="11" t="s">
        <v>81</v>
      </c>
      <c r="D70" t="s">
        <v>12</v>
      </c>
      <c r="E70" s="11" t="s">
        <v>13</v>
      </c>
      <c r="F70" s="11" t="s">
        <v>14</v>
      </c>
      <c r="G70" s="12" t="s">
        <v>33</v>
      </c>
      <c r="H70" s="12">
        <v>1</v>
      </c>
      <c r="I70" s="12">
        <v>76</v>
      </c>
      <c r="J70" s="12" t="s">
        <v>13</v>
      </c>
      <c r="K70" s="12" t="s">
        <v>63</v>
      </c>
      <c r="L70" s="12">
        <v>1200</v>
      </c>
      <c r="M70" s="11" t="s">
        <v>16</v>
      </c>
      <c r="N70" s="12" t="s">
        <v>0</v>
      </c>
      <c r="P70" s="11">
        <v>600</v>
      </c>
      <c r="Q70" s="11">
        <v>400</v>
      </c>
      <c r="R70" s="11" t="s">
        <v>18</v>
      </c>
      <c r="S70" s="11" t="s">
        <v>19</v>
      </c>
      <c r="T70" s="11">
        <v>2004</v>
      </c>
      <c r="U70" s="11" t="s">
        <v>20</v>
      </c>
    </row>
    <row r="71" spans="1:21" x14ac:dyDescent="0.25">
      <c r="A71" s="10" t="s">
        <v>178</v>
      </c>
      <c r="B71" s="11" t="s">
        <v>10</v>
      </c>
      <c r="C71" s="11" t="s">
        <v>79</v>
      </c>
      <c r="D71" t="s">
        <v>12</v>
      </c>
      <c r="E71" s="11" t="s">
        <v>13</v>
      </c>
      <c r="F71" s="11" t="s">
        <v>14</v>
      </c>
      <c r="G71" s="12" t="s">
        <v>33</v>
      </c>
      <c r="H71" s="12">
        <v>1</v>
      </c>
      <c r="I71" s="12">
        <v>76</v>
      </c>
      <c r="J71" s="12" t="s">
        <v>13</v>
      </c>
      <c r="K71" s="12" t="s">
        <v>63</v>
      </c>
      <c r="L71" s="12">
        <v>1200</v>
      </c>
      <c r="M71" s="11" t="s">
        <v>16</v>
      </c>
      <c r="N71" s="12" t="s">
        <v>0</v>
      </c>
      <c r="P71" s="11">
        <v>600</v>
      </c>
      <c r="Q71" s="11">
        <v>400</v>
      </c>
      <c r="R71" s="11" t="s">
        <v>18</v>
      </c>
      <c r="S71" s="11" t="s">
        <v>19</v>
      </c>
      <c r="T71" s="11">
        <v>2004</v>
      </c>
      <c r="U71" s="11" t="s">
        <v>20</v>
      </c>
    </row>
    <row r="72" spans="1:21" x14ac:dyDescent="0.25">
      <c r="A72" s="10" t="s">
        <v>179</v>
      </c>
      <c r="B72" s="11" t="s">
        <v>73</v>
      </c>
      <c r="C72" s="11" t="s">
        <v>62</v>
      </c>
      <c r="D72" t="s">
        <v>75</v>
      </c>
      <c r="E72" s="11" t="s">
        <v>20</v>
      </c>
      <c r="F72" s="11" t="s">
        <v>14</v>
      </c>
      <c r="G72" s="12" t="s">
        <v>17</v>
      </c>
      <c r="H72" s="12">
        <v>1</v>
      </c>
      <c r="I72" s="12">
        <v>89</v>
      </c>
      <c r="J72" s="12" t="s">
        <v>13</v>
      </c>
      <c r="K72" s="12" t="s">
        <v>63</v>
      </c>
      <c r="L72" s="12">
        <v>2200</v>
      </c>
      <c r="M72" s="11" t="s">
        <v>16</v>
      </c>
      <c r="N72" s="12" t="s">
        <v>17</v>
      </c>
      <c r="P72" s="11">
        <v>950</v>
      </c>
      <c r="Q72" s="11">
        <v>1400</v>
      </c>
      <c r="R72" s="11" t="s">
        <v>18</v>
      </c>
      <c r="S72" s="11" t="s">
        <v>36</v>
      </c>
      <c r="T72" s="11">
        <v>2010</v>
      </c>
      <c r="U72" s="11" t="s">
        <v>20</v>
      </c>
    </row>
    <row r="73" spans="1:21" x14ac:dyDescent="0.25">
      <c r="A73" s="10" t="s">
        <v>181</v>
      </c>
      <c r="B73" s="11" t="s">
        <v>24</v>
      </c>
      <c r="C73" s="11" t="s">
        <v>24</v>
      </c>
      <c r="D73" t="s">
        <v>12</v>
      </c>
      <c r="E73" s="11" t="s">
        <v>13</v>
      </c>
      <c r="F73" s="11" t="s">
        <v>175</v>
      </c>
      <c r="G73" s="12" t="s">
        <v>33</v>
      </c>
      <c r="H73" s="12">
        <v>1</v>
      </c>
      <c r="I73" s="12">
        <v>76</v>
      </c>
      <c r="J73" s="12" t="s">
        <v>13</v>
      </c>
      <c r="K73" s="12" t="s">
        <v>15</v>
      </c>
      <c r="L73" s="12">
        <v>1900</v>
      </c>
      <c r="M73" s="11" t="s">
        <v>16</v>
      </c>
      <c r="N73" s="12" t="s">
        <v>17</v>
      </c>
      <c r="P73" s="11">
        <v>750</v>
      </c>
      <c r="Q73" s="11">
        <v>750</v>
      </c>
      <c r="R73" s="11" t="s">
        <v>18</v>
      </c>
      <c r="S73" s="11" t="s">
        <v>29</v>
      </c>
      <c r="T73" s="11" t="s">
        <v>55</v>
      </c>
      <c r="U73" s="11" t="s">
        <v>20</v>
      </c>
    </row>
    <row r="74" spans="1:21" x14ac:dyDescent="0.25">
      <c r="A74" s="10" t="s">
        <v>182</v>
      </c>
      <c r="B74" s="11" t="s">
        <v>24</v>
      </c>
      <c r="C74" s="11" t="s">
        <v>143</v>
      </c>
      <c r="D74" t="s">
        <v>12</v>
      </c>
      <c r="E74" s="11" t="s">
        <v>13</v>
      </c>
      <c r="F74" s="11" t="s">
        <v>14</v>
      </c>
      <c r="G74" s="12" t="s">
        <v>33</v>
      </c>
      <c r="H74" s="12">
        <v>1</v>
      </c>
      <c r="I74" s="12">
        <v>76</v>
      </c>
      <c r="J74" s="12" t="s">
        <v>13</v>
      </c>
      <c r="K74" s="12" t="s">
        <v>63</v>
      </c>
      <c r="L74" s="12">
        <v>2000</v>
      </c>
      <c r="M74" s="11" t="s">
        <v>16</v>
      </c>
      <c r="N74" s="12" t="s">
        <v>17</v>
      </c>
      <c r="P74" s="11">
        <v>350</v>
      </c>
      <c r="Q74" s="11">
        <v>350</v>
      </c>
      <c r="R74" s="11" t="s">
        <v>34</v>
      </c>
      <c r="S74" s="11" t="s">
        <v>19</v>
      </c>
      <c r="T74" s="11">
        <v>2015</v>
      </c>
      <c r="U74" s="11" t="s">
        <v>20</v>
      </c>
    </row>
    <row r="75" spans="1:21" x14ac:dyDescent="0.25">
      <c r="A75" s="10" t="s">
        <v>183</v>
      </c>
      <c r="B75" s="11" t="s">
        <v>10</v>
      </c>
      <c r="C75" s="11" t="s">
        <v>11</v>
      </c>
      <c r="D75" t="s">
        <v>12</v>
      </c>
      <c r="E75" s="11" t="s">
        <v>13</v>
      </c>
      <c r="F75" s="11" t="s">
        <v>14</v>
      </c>
      <c r="G75" s="12" t="s">
        <v>33</v>
      </c>
      <c r="H75" s="12">
        <v>1</v>
      </c>
      <c r="I75" s="12">
        <v>76</v>
      </c>
      <c r="J75" s="12" t="s">
        <v>13</v>
      </c>
      <c r="K75" s="12" t="s">
        <v>15</v>
      </c>
      <c r="L75" s="12">
        <v>1600</v>
      </c>
      <c r="M75" s="11" t="s">
        <v>16</v>
      </c>
      <c r="N75" s="12" t="s">
        <v>17</v>
      </c>
      <c r="P75" s="11">
        <v>900</v>
      </c>
      <c r="Q75" s="11">
        <v>900</v>
      </c>
      <c r="R75" s="11" t="s">
        <v>18</v>
      </c>
      <c r="S75" s="11" t="s">
        <v>19</v>
      </c>
      <c r="T75" s="11">
        <v>2006</v>
      </c>
      <c r="U75" s="11" t="s">
        <v>20</v>
      </c>
    </row>
    <row r="76" spans="1:21" x14ac:dyDescent="0.25">
      <c r="A76" s="10" t="s">
        <v>184</v>
      </c>
      <c r="B76" s="11" t="s">
        <v>32</v>
      </c>
      <c r="C76" s="11" t="s">
        <v>32</v>
      </c>
      <c r="D76" t="s">
        <v>39</v>
      </c>
      <c r="E76" s="11" t="s">
        <v>20</v>
      </c>
      <c r="F76" s="11" t="s">
        <v>175</v>
      </c>
      <c r="G76" s="12" t="s">
        <v>17</v>
      </c>
      <c r="H76" s="12">
        <v>2</v>
      </c>
      <c r="I76" s="12">
        <v>76</v>
      </c>
      <c r="J76" s="12">
        <v>1200</v>
      </c>
      <c r="K76" s="12" t="s">
        <v>63</v>
      </c>
      <c r="L76" s="12">
        <v>200</v>
      </c>
      <c r="M76" s="11"/>
      <c r="N76" s="12" t="s">
        <v>33</v>
      </c>
      <c r="P76" s="11">
        <v>1750</v>
      </c>
      <c r="Q76" s="11">
        <v>760</v>
      </c>
      <c r="R76" s="11" t="s">
        <v>34</v>
      </c>
      <c r="S76" s="11" t="s">
        <v>35</v>
      </c>
      <c r="T76" s="11">
        <v>2007</v>
      </c>
      <c r="U76" s="11" t="s">
        <v>20</v>
      </c>
    </row>
    <row r="77" spans="1:21" x14ac:dyDescent="0.25">
      <c r="A77" s="10" t="s">
        <v>186</v>
      </c>
      <c r="B77" s="11" t="s">
        <v>32</v>
      </c>
      <c r="C77" s="11" t="s">
        <v>32</v>
      </c>
      <c r="D77" t="s">
        <v>12</v>
      </c>
      <c r="E77" s="11" t="s">
        <v>13</v>
      </c>
      <c r="F77" s="11" t="s">
        <v>175</v>
      </c>
      <c r="G77" s="12" t="s">
        <v>33</v>
      </c>
      <c r="H77" s="12">
        <v>2</v>
      </c>
      <c r="I77" s="12">
        <v>76</v>
      </c>
      <c r="J77" s="12">
        <v>1150</v>
      </c>
      <c r="K77" s="12" t="s">
        <v>98</v>
      </c>
      <c r="L77" s="12">
        <v>200</v>
      </c>
      <c r="M77" s="11" t="s">
        <v>16</v>
      </c>
      <c r="N77" s="12" t="s">
        <v>17</v>
      </c>
      <c r="P77" s="11">
        <v>1750</v>
      </c>
      <c r="Q77" s="11">
        <v>760</v>
      </c>
      <c r="R77" s="11" t="s">
        <v>18</v>
      </c>
      <c r="S77" s="11" t="s">
        <v>35</v>
      </c>
      <c r="T77" s="11">
        <v>2007</v>
      </c>
      <c r="U77" s="11" t="s">
        <v>20</v>
      </c>
    </row>
    <row r="78" spans="1:21" x14ac:dyDescent="0.25">
      <c r="A78" s="10" t="s">
        <v>188</v>
      </c>
      <c r="B78" s="11" t="s">
        <v>32</v>
      </c>
      <c r="C78" s="11" t="s">
        <v>32</v>
      </c>
      <c r="D78" t="s">
        <v>39</v>
      </c>
      <c r="E78" s="11" t="s">
        <v>20</v>
      </c>
      <c r="F78" s="11" t="s">
        <v>175</v>
      </c>
      <c r="G78" s="12" t="s">
        <v>17</v>
      </c>
      <c r="H78" s="12">
        <v>3</v>
      </c>
      <c r="I78" s="12">
        <v>89</v>
      </c>
      <c r="J78" s="12">
        <v>900</v>
      </c>
      <c r="K78" s="12" t="s">
        <v>15</v>
      </c>
      <c r="L78" s="12">
        <v>1000</v>
      </c>
      <c r="M78" s="11" t="s">
        <v>190</v>
      </c>
      <c r="N78" s="12" t="s">
        <v>33</v>
      </c>
      <c r="P78" s="11">
        <v>2410</v>
      </c>
      <c r="Q78" s="11">
        <v>1340</v>
      </c>
      <c r="R78" s="11" t="s">
        <v>34</v>
      </c>
      <c r="S78" s="11" t="s">
        <v>35</v>
      </c>
      <c r="T78" s="11">
        <v>2007</v>
      </c>
      <c r="U78" s="11" t="s">
        <v>20</v>
      </c>
    </row>
    <row r="79" spans="1:21" x14ac:dyDescent="0.25">
      <c r="A79" s="10" t="s">
        <v>191</v>
      </c>
      <c r="B79" s="11" t="s">
        <v>10</v>
      </c>
      <c r="C79" s="11" t="s">
        <v>192</v>
      </c>
      <c r="D79" t="s">
        <v>39</v>
      </c>
      <c r="E79" s="11" t="s">
        <v>20</v>
      </c>
      <c r="F79" s="11" t="s">
        <v>175</v>
      </c>
      <c r="G79" s="12" t="s">
        <v>17</v>
      </c>
      <c r="H79" s="12">
        <v>2</v>
      </c>
      <c r="I79" s="12">
        <v>76</v>
      </c>
      <c r="J79" s="12">
        <v>970</v>
      </c>
      <c r="K79" s="12" t="s">
        <v>63</v>
      </c>
      <c r="L79" s="12">
        <v>1100</v>
      </c>
      <c r="M79" s="11" t="s">
        <v>190</v>
      </c>
      <c r="N79" s="12" t="s">
        <v>33</v>
      </c>
      <c r="P79" s="11">
        <v>1200</v>
      </c>
      <c r="Q79" s="11">
        <v>400</v>
      </c>
      <c r="R79" s="11" t="s">
        <v>34</v>
      </c>
      <c r="S79" s="11" t="s">
        <v>19</v>
      </c>
      <c r="T79" s="11">
        <v>2005</v>
      </c>
      <c r="U79" s="11" t="s">
        <v>20</v>
      </c>
    </row>
    <row r="80" spans="1:21" x14ac:dyDescent="0.25">
      <c r="A80" s="10" t="s">
        <v>193</v>
      </c>
      <c r="B80" s="11" t="s">
        <v>24</v>
      </c>
      <c r="C80" s="11" t="s">
        <v>58</v>
      </c>
      <c r="D80" t="s">
        <v>109</v>
      </c>
      <c r="E80" s="11" t="s">
        <v>20</v>
      </c>
      <c r="F80" s="11" t="s">
        <v>175</v>
      </c>
      <c r="G80" s="12" t="s">
        <v>17</v>
      </c>
      <c r="H80" s="12">
        <v>1</v>
      </c>
      <c r="I80" s="12">
        <v>76</v>
      </c>
      <c r="J80" s="12" t="s">
        <v>13</v>
      </c>
      <c r="K80" s="12" t="s">
        <v>63</v>
      </c>
      <c r="L80" s="12">
        <v>2500</v>
      </c>
      <c r="M80" s="11"/>
      <c r="N80" s="12" t="s">
        <v>33</v>
      </c>
      <c r="P80" s="11">
        <v>450</v>
      </c>
      <c r="Q80" s="11">
        <v>450</v>
      </c>
      <c r="R80" s="11" t="s">
        <v>34</v>
      </c>
      <c r="S80" s="11" t="s">
        <v>110</v>
      </c>
      <c r="T80" s="11">
        <v>2004</v>
      </c>
      <c r="U80" s="11" t="s">
        <v>20</v>
      </c>
    </row>
    <row r="81" spans="1:21" x14ac:dyDescent="0.25">
      <c r="A81" s="10" t="s">
        <v>194</v>
      </c>
      <c r="B81" s="11" t="s">
        <v>10</v>
      </c>
      <c r="C81" s="11" t="s">
        <v>196</v>
      </c>
      <c r="D81" t="s">
        <v>75</v>
      </c>
      <c r="E81" s="11" t="s">
        <v>20</v>
      </c>
      <c r="F81" s="11" t="s">
        <v>175</v>
      </c>
      <c r="G81" s="12" t="s">
        <v>33</v>
      </c>
      <c r="H81" s="12">
        <v>1</v>
      </c>
      <c r="I81" s="12">
        <v>89</v>
      </c>
      <c r="J81" s="12" t="s">
        <v>13</v>
      </c>
      <c r="K81" s="12" t="s">
        <v>90</v>
      </c>
      <c r="L81" s="12">
        <v>2200</v>
      </c>
      <c r="M81" s="11"/>
      <c r="N81" s="12" t="s">
        <v>33</v>
      </c>
      <c r="P81" s="11">
        <v>950</v>
      </c>
      <c r="Q81" s="11">
        <v>1400</v>
      </c>
      <c r="R81" s="11" t="s">
        <v>83</v>
      </c>
      <c r="S81" s="11" t="s">
        <v>197</v>
      </c>
      <c r="T81" s="11" t="s">
        <v>55</v>
      </c>
      <c r="U81" s="11" t="s">
        <v>20</v>
      </c>
    </row>
    <row r="82" spans="1:21" x14ac:dyDescent="0.25">
      <c r="A82" s="10" t="s">
        <v>198</v>
      </c>
      <c r="B82" s="11"/>
      <c r="C82" s="11" t="s">
        <v>199</v>
      </c>
      <c r="D82" t="s">
        <v>12</v>
      </c>
      <c r="E82" s="11" t="s">
        <v>13</v>
      </c>
      <c r="F82" s="11" t="s">
        <v>175</v>
      </c>
      <c r="G82" s="12" t="s">
        <v>33</v>
      </c>
      <c r="H82" s="12">
        <v>1</v>
      </c>
      <c r="I82" s="12">
        <v>76</v>
      </c>
      <c r="J82" s="12" t="s">
        <v>13</v>
      </c>
      <c r="K82" s="12" t="s">
        <v>63</v>
      </c>
      <c r="L82" s="12">
        <v>2300</v>
      </c>
      <c r="M82" s="11" t="s">
        <v>16</v>
      </c>
      <c r="N82" s="12" t="s">
        <v>17</v>
      </c>
      <c r="P82" s="11">
        <v>320</v>
      </c>
      <c r="Q82" s="11">
        <v>320</v>
      </c>
      <c r="R82" s="11" t="s">
        <v>18</v>
      </c>
      <c r="S82" s="11" t="s">
        <v>55</v>
      </c>
      <c r="T82" s="11" t="s">
        <v>55</v>
      </c>
      <c r="U82" s="11" t="s">
        <v>20</v>
      </c>
    </row>
    <row r="83" spans="1:21" x14ac:dyDescent="0.25">
      <c r="A83" s="10" t="s">
        <v>200</v>
      </c>
      <c r="B83" s="11" t="s">
        <v>54</v>
      </c>
      <c r="C83" s="11"/>
      <c r="D83" t="s">
        <v>109</v>
      </c>
      <c r="E83" s="11" t="s">
        <v>20</v>
      </c>
      <c r="F83" s="11" t="s">
        <v>14</v>
      </c>
      <c r="G83" s="12" t="s">
        <v>17</v>
      </c>
      <c r="H83" s="12">
        <v>1</v>
      </c>
      <c r="I83" s="12">
        <v>76</v>
      </c>
      <c r="J83" s="12" t="s">
        <v>13</v>
      </c>
      <c r="K83" s="12" t="s">
        <v>63</v>
      </c>
      <c r="L83" s="12">
        <v>1700</v>
      </c>
      <c r="M83" s="11"/>
      <c r="N83" s="12" t="s">
        <v>33</v>
      </c>
      <c r="P83" s="11">
        <v>750</v>
      </c>
      <c r="Q83" s="11">
        <v>450</v>
      </c>
      <c r="R83" s="11" t="s">
        <v>34</v>
      </c>
      <c r="S83" s="11" t="s">
        <v>67</v>
      </c>
      <c r="T83" s="11">
        <v>2006</v>
      </c>
      <c r="U83" s="11" t="s">
        <v>20</v>
      </c>
    </row>
    <row r="84" spans="1:21" x14ac:dyDescent="0.25">
      <c r="A84" s="10" t="s">
        <v>203</v>
      </c>
      <c r="B84" s="11" t="s">
        <v>73</v>
      </c>
      <c r="C84" s="11" t="s">
        <v>62</v>
      </c>
      <c r="D84" t="s">
        <v>75</v>
      </c>
      <c r="E84" s="11" t="s">
        <v>20</v>
      </c>
      <c r="F84" s="11" t="s">
        <v>14</v>
      </c>
      <c r="G84" s="12" t="s">
        <v>17</v>
      </c>
      <c r="H84" s="12">
        <v>1</v>
      </c>
      <c r="I84" s="12">
        <v>114</v>
      </c>
      <c r="J84" s="12" t="s">
        <v>13</v>
      </c>
      <c r="K84" s="12" t="s">
        <v>63</v>
      </c>
      <c r="L84" s="12">
        <v>2000</v>
      </c>
      <c r="M84" s="11"/>
      <c r="N84" s="12" t="s">
        <v>33</v>
      </c>
      <c r="P84" s="11">
        <v>1200</v>
      </c>
      <c r="Q84" s="11">
        <v>2100</v>
      </c>
      <c r="R84" s="11" t="s">
        <v>34</v>
      </c>
      <c r="S84" s="11" t="s">
        <v>55</v>
      </c>
      <c r="T84" s="11" t="s">
        <v>55</v>
      </c>
      <c r="U84" s="11" t="s">
        <v>20</v>
      </c>
    </row>
    <row r="85" spans="1:21" x14ac:dyDescent="0.25">
      <c r="A85" s="10" t="s">
        <v>204</v>
      </c>
      <c r="B85" s="11" t="s">
        <v>24</v>
      </c>
      <c r="C85" s="11" t="s">
        <v>58</v>
      </c>
      <c r="D85" t="s">
        <v>109</v>
      </c>
      <c r="E85" s="11" t="s">
        <v>20</v>
      </c>
      <c r="F85" s="11" t="s">
        <v>14</v>
      </c>
      <c r="G85" s="12" t="s">
        <v>17</v>
      </c>
      <c r="H85" s="12">
        <v>1</v>
      </c>
      <c r="I85" s="12">
        <v>76</v>
      </c>
      <c r="J85" s="12" t="s">
        <v>13</v>
      </c>
      <c r="K85" s="12" t="s">
        <v>90</v>
      </c>
      <c r="L85" s="12">
        <v>0</v>
      </c>
      <c r="M85" s="11"/>
      <c r="N85" s="12" t="s">
        <v>33</v>
      </c>
      <c r="P85" s="11">
        <v>450</v>
      </c>
      <c r="Q85" s="11">
        <v>450</v>
      </c>
      <c r="S85" s="11" t="s">
        <v>55</v>
      </c>
      <c r="T85" s="11" t="s">
        <v>55</v>
      </c>
      <c r="U85" s="11" t="s">
        <v>20</v>
      </c>
    </row>
    <row r="86" spans="1:21" x14ac:dyDescent="0.25">
      <c r="A86" s="10" t="s">
        <v>206</v>
      </c>
      <c r="B86" s="11" t="s">
        <v>10</v>
      </c>
      <c r="C86" s="11" t="s">
        <v>62</v>
      </c>
      <c r="D86" t="s">
        <v>109</v>
      </c>
      <c r="E86" s="11" t="s">
        <v>20</v>
      </c>
      <c r="F86" s="11" t="s">
        <v>14</v>
      </c>
      <c r="G86" s="12" t="s">
        <v>17</v>
      </c>
      <c r="H86" s="12">
        <v>1</v>
      </c>
      <c r="I86" s="12">
        <v>76</v>
      </c>
      <c r="J86" s="12" t="s">
        <v>13</v>
      </c>
      <c r="K86" s="12" t="s">
        <v>93</v>
      </c>
      <c r="L86" s="12">
        <v>2000</v>
      </c>
      <c r="M86" s="11"/>
      <c r="N86" s="12" t="s">
        <v>33</v>
      </c>
      <c r="P86" s="11">
        <v>900</v>
      </c>
      <c r="Q86" s="11">
        <v>900</v>
      </c>
      <c r="R86" s="11" t="s">
        <v>83</v>
      </c>
      <c r="S86" s="11" t="s">
        <v>67</v>
      </c>
      <c r="T86" s="11">
        <v>2008</v>
      </c>
      <c r="U86" s="11" t="s">
        <v>20</v>
      </c>
    </row>
    <row r="87" spans="1:21" x14ac:dyDescent="0.25">
      <c r="A87" s="10" t="s">
        <v>208</v>
      </c>
      <c r="B87" s="11" t="s">
        <v>24</v>
      </c>
      <c r="C87" s="11" t="s">
        <v>87</v>
      </c>
      <c r="D87" t="s">
        <v>12</v>
      </c>
      <c r="E87" s="11" t="s">
        <v>13</v>
      </c>
      <c r="F87" s="11" t="s">
        <v>14</v>
      </c>
      <c r="G87" s="12" t="s">
        <v>33</v>
      </c>
      <c r="H87" s="12">
        <v>1</v>
      </c>
      <c r="I87" s="12">
        <v>76</v>
      </c>
      <c r="J87" s="12" t="s">
        <v>13</v>
      </c>
      <c r="K87" s="12" t="s">
        <v>63</v>
      </c>
      <c r="L87" s="12">
        <v>200</v>
      </c>
      <c r="M87" s="11" t="s">
        <v>16</v>
      </c>
      <c r="N87" s="12" t="s">
        <v>17</v>
      </c>
      <c r="P87" s="11">
        <v>750</v>
      </c>
      <c r="Q87" s="11">
        <v>750</v>
      </c>
      <c r="R87" s="11" t="s">
        <v>60</v>
      </c>
      <c r="S87" s="11" t="s">
        <v>55</v>
      </c>
      <c r="T87" s="11" t="s">
        <v>55</v>
      </c>
      <c r="U87" s="11" t="s">
        <v>20</v>
      </c>
    </row>
    <row r="88" spans="1:21" x14ac:dyDescent="0.25">
      <c r="A88" s="10" t="s">
        <v>209</v>
      </c>
      <c r="B88" s="11" t="s">
        <v>24</v>
      </c>
      <c r="C88" s="11" t="s">
        <v>143</v>
      </c>
      <c r="D88" t="s">
        <v>12</v>
      </c>
      <c r="E88" s="11" t="s">
        <v>13</v>
      </c>
      <c r="F88" s="11" t="s">
        <v>175</v>
      </c>
      <c r="G88" s="12" t="s">
        <v>33</v>
      </c>
      <c r="H88" s="12">
        <v>1</v>
      </c>
      <c r="I88" s="12">
        <v>76</v>
      </c>
      <c r="J88" s="12" t="s">
        <v>13</v>
      </c>
      <c r="K88" s="12" t="s">
        <v>93</v>
      </c>
      <c r="L88" s="12">
        <v>2100</v>
      </c>
      <c r="M88" s="11" t="s">
        <v>16</v>
      </c>
      <c r="N88" s="12" t="s">
        <v>17</v>
      </c>
      <c r="P88" s="11">
        <v>350</v>
      </c>
      <c r="Q88" s="11">
        <v>350</v>
      </c>
      <c r="R88" s="11" t="s">
        <v>34</v>
      </c>
      <c r="S88" s="11" t="s">
        <v>19</v>
      </c>
      <c r="T88" s="11">
        <v>2015</v>
      </c>
      <c r="U88" s="11" t="s">
        <v>20</v>
      </c>
    </row>
    <row r="89" spans="1:21" x14ac:dyDescent="0.25">
      <c r="A89" s="10" t="s">
        <v>210</v>
      </c>
      <c r="B89" s="11" t="s">
        <v>10</v>
      </c>
      <c r="C89" s="11" t="s">
        <v>11</v>
      </c>
      <c r="D89" t="s">
        <v>12</v>
      </c>
      <c r="E89" s="11" t="s">
        <v>13</v>
      </c>
      <c r="F89" s="11" t="s">
        <v>14</v>
      </c>
      <c r="G89" s="12" t="s">
        <v>33</v>
      </c>
      <c r="H89" s="12">
        <v>1</v>
      </c>
      <c r="I89" s="12">
        <v>76</v>
      </c>
      <c r="J89" s="12" t="s">
        <v>13</v>
      </c>
      <c r="K89" s="12" t="s">
        <v>90</v>
      </c>
      <c r="L89" s="12">
        <v>1500</v>
      </c>
      <c r="M89" s="11" t="s">
        <v>16</v>
      </c>
      <c r="N89" s="12" t="s">
        <v>17</v>
      </c>
      <c r="P89" s="11">
        <v>900</v>
      </c>
      <c r="Q89" s="11">
        <v>900</v>
      </c>
      <c r="R89" s="11" t="s">
        <v>18</v>
      </c>
      <c r="S89" s="11" t="s">
        <v>19</v>
      </c>
      <c r="T89" s="11">
        <v>2006</v>
      </c>
      <c r="U89" s="11" t="s">
        <v>20</v>
      </c>
    </row>
    <row r="90" spans="1:21" x14ac:dyDescent="0.25">
      <c r="A90" s="10" t="s">
        <v>211</v>
      </c>
      <c r="B90" s="11" t="s">
        <v>32</v>
      </c>
      <c r="C90" s="11" t="s">
        <v>32</v>
      </c>
      <c r="D90" t="s">
        <v>39</v>
      </c>
      <c r="E90" s="11" t="s">
        <v>20</v>
      </c>
      <c r="F90" s="11" t="s">
        <v>14</v>
      </c>
      <c r="G90" s="12" t="s">
        <v>17</v>
      </c>
      <c r="H90" s="12">
        <v>2</v>
      </c>
      <c r="I90" s="12">
        <v>76</v>
      </c>
      <c r="J90" s="12">
        <v>800</v>
      </c>
      <c r="K90" s="12" t="s">
        <v>63</v>
      </c>
      <c r="L90" s="12">
        <v>1400</v>
      </c>
      <c r="M90" s="11" t="s">
        <v>16</v>
      </c>
      <c r="N90" s="12" t="s">
        <v>33</v>
      </c>
      <c r="P90" s="11">
        <v>1300</v>
      </c>
      <c r="Q90" s="11">
        <v>760</v>
      </c>
      <c r="R90" s="11" t="s">
        <v>34</v>
      </c>
      <c r="S90" s="11" t="s">
        <v>35</v>
      </c>
      <c r="T90" s="11">
        <v>2007</v>
      </c>
      <c r="U90" s="11" t="s">
        <v>20</v>
      </c>
    </row>
    <row r="91" spans="1:21" x14ac:dyDescent="0.25">
      <c r="A91" s="10" t="s">
        <v>213</v>
      </c>
      <c r="B91" s="11" t="s">
        <v>32</v>
      </c>
      <c r="C91" s="11" t="s">
        <v>32</v>
      </c>
      <c r="D91" t="s">
        <v>39</v>
      </c>
      <c r="E91" s="11" t="s">
        <v>20</v>
      </c>
      <c r="F91" s="11" t="s">
        <v>14</v>
      </c>
      <c r="G91" s="12" t="s">
        <v>17</v>
      </c>
      <c r="H91" s="12">
        <v>2</v>
      </c>
      <c r="I91" s="12">
        <v>76</v>
      </c>
      <c r="J91" s="12">
        <v>800</v>
      </c>
      <c r="K91" s="12" t="s">
        <v>15</v>
      </c>
      <c r="L91" s="12">
        <v>1400</v>
      </c>
      <c r="M91" s="11" t="s">
        <v>16</v>
      </c>
      <c r="N91" s="12" t="s">
        <v>17</v>
      </c>
      <c r="P91" s="11">
        <v>1300</v>
      </c>
      <c r="Q91" s="11">
        <v>760</v>
      </c>
      <c r="R91" s="11" t="s">
        <v>18</v>
      </c>
      <c r="S91" s="11" t="s">
        <v>35</v>
      </c>
      <c r="T91" s="11">
        <v>2007</v>
      </c>
      <c r="U91" s="11" t="s">
        <v>20</v>
      </c>
    </row>
    <row r="92" spans="1:21" x14ac:dyDescent="0.25">
      <c r="A92" s="10" t="s">
        <v>215</v>
      </c>
      <c r="B92" s="11" t="s">
        <v>32</v>
      </c>
      <c r="C92" s="11" t="s">
        <v>32</v>
      </c>
      <c r="D92" t="s">
        <v>39</v>
      </c>
      <c r="E92" s="11" t="s">
        <v>20</v>
      </c>
      <c r="F92" s="11" t="s">
        <v>14</v>
      </c>
      <c r="G92" s="12" t="s">
        <v>17</v>
      </c>
      <c r="H92" s="12">
        <v>3</v>
      </c>
      <c r="I92" s="12">
        <v>89</v>
      </c>
      <c r="J92" s="12">
        <v>900</v>
      </c>
      <c r="K92" s="12" t="s">
        <v>63</v>
      </c>
      <c r="L92" s="12">
        <v>1000</v>
      </c>
      <c r="M92" s="11" t="s">
        <v>16</v>
      </c>
      <c r="N92" s="12" t="s">
        <v>33</v>
      </c>
      <c r="P92" s="11">
        <v>2410</v>
      </c>
      <c r="Q92" s="11">
        <v>1340</v>
      </c>
      <c r="R92" s="11" t="s">
        <v>34</v>
      </c>
      <c r="S92" s="11" t="s">
        <v>35</v>
      </c>
      <c r="T92" s="11">
        <v>2007</v>
      </c>
      <c r="U92" s="11" t="s">
        <v>20</v>
      </c>
    </row>
    <row r="93" spans="1:21" x14ac:dyDescent="0.25">
      <c r="A93" s="10" t="s">
        <v>217</v>
      </c>
      <c r="B93" s="11" t="s">
        <v>24</v>
      </c>
      <c r="C93" s="11" t="s">
        <v>58</v>
      </c>
      <c r="D93" t="s">
        <v>12</v>
      </c>
      <c r="E93" s="11" t="s">
        <v>13</v>
      </c>
      <c r="F93" s="11" t="s">
        <v>175</v>
      </c>
      <c r="G93" s="12" t="s">
        <v>33</v>
      </c>
      <c r="H93" s="12">
        <v>1</v>
      </c>
      <c r="I93" s="12">
        <v>76</v>
      </c>
      <c r="J93" s="12" t="s">
        <v>13</v>
      </c>
      <c r="K93" s="12" t="s">
        <v>63</v>
      </c>
      <c r="L93" s="12">
        <v>2300</v>
      </c>
      <c r="M93" s="11" t="s">
        <v>16</v>
      </c>
      <c r="N93" s="12" t="s">
        <v>17</v>
      </c>
      <c r="P93" s="11">
        <v>450</v>
      </c>
      <c r="Q93" s="11">
        <v>450</v>
      </c>
      <c r="R93" s="11" t="s">
        <v>18</v>
      </c>
      <c r="S93" s="11" t="s">
        <v>110</v>
      </c>
      <c r="T93" s="11" t="s">
        <v>55</v>
      </c>
      <c r="U93" s="11" t="s">
        <v>20</v>
      </c>
    </row>
    <row r="94" spans="1:21" x14ac:dyDescent="0.25">
      <c r="A94" s="10" t="s">
        <v>218</v>
      </c>
      <c r="B94" s="11" t="s">
        <v>10</v>
      </c>
      <c r="C94" s="11" t="s">
        <v>196</v>
      </c>
      <c r="D94" t="s">
        <v>109</v>
      </c>
      <c r="E94" s="11" t="s">
        <v>20</v>
      </c>
      <c r="F94" s="11" t="s">
        <v>14</v>
      </c>
      <c r="G94" s="12" t="s">
        <v>17</v>
      </c>
      <c r="H94" s="12">
        <v>1</v>
      </c>
      <c r="I94" s="12">
        <v>76</v>
      </c>
      <c r="J94" s="12" t="s">
        <v>13</v>
      </c>
      <c r="K94" s="12" t="s">
        <v>63</v>
      </c>
      <c r="L94" s="12">
        <v>2300</v>
      </c>
      <c r="M94" s="11" t="s">
        <v>16</v>
      </c>
      <c r="N94" s="12" t="s">
        <v>17</v>
      </c>
      <c r="P94" s="11">
        <v>900</v>
      </c>
      <c r="Q94" s="11">
        <v>900</v>
      </c>
      <c r="R94" s="11" t="s">
        <v>18</v>
      </c>
      <c r="S94" s="11" t="s">
        <v>35</v>
      </c>
      <c r="T94" s="11">
        <v>2007</v>
      </c>
      <c r="U94" s="11" t="s">
        <v>20</v>
      </c>
    </row>
    <row r="95" spans="1:21" x14ac:dyDescent="0.25">
      <c r="A95" s="10" t="s">
        <v>219</v>
      </c>
      <c r="B95" s="11" t="s">
        <v>73</v>
      </c>
      <c r="C95" s="11" t="s">
        <v>221</v>
      </c>
      <c r="D95" t="s">
        <v>75</v>
      </c>
      <c r="E95" s="11" t="s">
        <v>13</v>
      </c>
      <c r="F95" s="11" t="s">
        <v>14</v>
      </c>
      <c r="G95" s="12" t="s">
        <v>17</v>
      </c>
      <c r="H95" s="12">
        <v>1</v>
      </c>
      <c r="I95" s="12">
        <v>114</v>
      </c>
      <c r="J95" s="12" t="s">
        <v>13</v>
      </c>
      <c r="K95" s="12" t="s">
        <v>63</v>
      </c>
      <c r="L95" s="12">
        <v>2400</v>
      </c>
      <c r="M95" s="11" t="s">
        <v>16</v>
      </c>
      <c r="N95" s="12" t="s">
        <v>17</v>
      </c>
      <c r="P95" s="11">
        <v>1180</v>
      </c>
      <c r="Q95" s="11">
        <v>1560</v>
      </c>
      <c r="R95" s="11" t="s">
        <v>18</v>
      </c>
      <c r="S95" s="11" t="s">
        <v>67</v>
      </c>
      <c r="T95" s="11">
        <v>2006</v>
      </c>
      <c r="U95" s="11" t="s">
        <v>20</v>
      </c>
    </row>
    <row r="96" spans="1:21" x14ac:dyDescent="0.25">
      <c r="A96" s="10" t="s">
        <v>222</v>
      </c>
      <c r="B96" s="11" t="s">
        <v>54</v>
      </c>
      <c r="C96" s="11" t="s">
        <v>223</v>
      </c>
      <c r="D96" t="s">
        <v>75</v>
      </c>
      <c r="E96" s="11" t="s">
        <v>13</v>
      </c>
      <c r="F96" s="11" t="s">
        <v>14</v>
      </c>
      <c r="G96" s="12" t="s">
        <v>17</v>
      </c>
      <c r="H96" s="12">
        <v>1</v>
      </c>
      <c r="I96" s="12">
        <v>139</v>
      </c>
      <c r="J96" s="12" t="s">
        <v>13</v>
      </c>
      <c r="K96" s="12" t="s">
        <v>15</v>
      </c>
      <c r="L96" s="12">
        <v>2100</v>
      </c>
      <c r="M96" s="11" t="s">
        <v>16</v>
      </c>
      <c r="N96" s="12" t="s">
        <v>17</v>
      </c>
      <c r="P96" s="11">
        <v>1200</v>
      </c>
      <c r="Q96" s="11">
        <v>2400</v>
      </c>
      <c r="R96" s="11" t="s">
        <v>83</v>
      </c>
      <c r="S96" s="11" t="s">
        <v>67</v>
      </c>
      <c r="T96" s="11">
        <v>2008</v>
      </c>
      <c r="U96" s="11" t="s">
        <v>20</v>
      </c>
    </row>
    <row r="97" spans="1:21" x14ac:dyDescent="0.25">
      <c r="A97" s="10" t="s">
        <v>226</v>
      </c>
      <c r="B97" s="11" t="s">
        <v>54</v>
      </c>
      <c r="C97" s="11" t="s">
        <v>227</v>
      </c>
      <c r="D97" t="s">
        <v>75</v>
      </c>
      <c r="E97" s="11" t="s">
        <v>13</v>
      </c>
      <c r="F97" s="11" t="s">
        <v>14</v>
      </c>
      <c r="G97" s="12" t="s">
        <v>17</v>
      </c>
      <c r="H97" s="12">
        <v>1</v>
      </c>
      <c r="I97" s="12">
        <v>139</v>
      </c>
      <c r="J97" s="12" t="s">
        <v>13</v>
      </c>
      <c r="K97" s="12" t="s">
        <v>15</v>
      </c>
      <c r="L97" s="12">
        <v>2100</v>
      </c>
      <c r="M97" s="11" t="s">
        <v>16</v>
      </c>
      <c r="N97" s="12" t="s">
        <v>33</v>
      </c>
      <c r="P97" s="11">
        <v>1200</v>
      </c>
      <c r="Q97" s="11">
        <v>2400</v>
      </c>
      <c r="R97" s="11" t="s">
        <v>83</v>
      </c>
      <c r="S97" s="11" t="s">
        <v>67</v>
      </c>
      <c r="T97" s="11">
        <v>2008</v>
      </c>
      <c r="U97" s="11" t="s">
        <v>20</v>
      </c>
    </row>
    <row r="98" spans="1:21" x14ac:dyDescent="0.25">
      <c r="A98" s="10" t="s">
        <v>228</v>
      </c>
      <c r="B98" s="11" t="s">
        <v>54</v>
      </c>
      <c r="C98" s="11" t="s">
        <v>229</v>
      </c>
      <c r="D98" t="s">
        <v>75</v>
      </c>
      <c r="E98" s="11" t="s">
        <v>13</v>
      </c>
      <c r="F98" s="11" t="s">
        <v>14</v>
      </c>
      <c r="G98" s="12" t="s">
        <v>17</v>
      </c>
      <c r="H98" s="12">
        <v>1</v>
      </c>
      <c r="I98" s="12">
        <v>139</v>
      </c>
      <c r="J98" s="12" t="s">
        <v>13</v>
      </c>
      <c r="K98" s="12" t="s">
        <v>63</v>
      </c>
      <c r="L98" s="12">
        <v>2100</v>
      </c>
      <c r="M98" s="11" t="s">
        <v>16</v>
      </c>
      <c r="N98" s="12" t="s">
        <v>33</v>
      </c>
      <c r="P98" s="11">
        <v>1200</v>
      </c>
      <c r="Q98" s="11">
        <v>2400</v>
      </c>
      <c r="R98" s="11" t="s">
        <v>83</v>
      </c>
      <c r="S98" s="11" t="s">
        <v>67</v>
      </c>
      <c r="T98" s="11">
        <v>2008</v>
      </c>
      <c r="U98" s="11" t="s">
        <v>20</v>
      </c>
    </row>
    <row r="99" spans="1:21" x14ac:dyDescent="0.25">
      <c r="A99" s="10" t="s">
        <v>230</v>
      </c>
      <c r="B99" s="11" t="s">
        <v>54</v>
      </c>
      <c r="C99" s="11" t="s">
        <v>227</v>
      </c>
      <c r="D99" t="s">
        <v>75</v>
      </c>
      <c r="E99" s="11" t="s">
        <v>13</v>
      </c>
      <c r="F99" s="11" t="s">
        <v>14</v>
      </c>
      <c r="G99" s="12" t="s">
        <v>17</v>
      </c>
      <c r="H99" s="12">
        <v>1</v>
      </c>
      <c r="I99" s="12">
        <v>139</v>
      </c>
      <c r="J99" s="12" t="s">
        <v>13</v>
      </c>
      <c r="K99" s="12" t="s">
        <v>63</v>
      </c>
      <c r="L99" s="12">
        <v>2100</v>
      </c>
      <c r="M99" s="11" t="s">
        <v>16</v>
      </c>
      <c r="N99" s="12" t="s">
        <v>33</v>
      </c>
      <c r="P99" s="11">
        <v>1200</v>
      </c>
      <c r="Q99" s="11">
        <v>2400</v>
      </c>
      <c r="R99" s="11" t="s">
        <v>83</v>
      </c>
      <c r="S99" s="11" t="s">
        <v>67</v>
      </c>
      <c r="T99" s="11">
        <v>2009</v>
      </c>
      <c r="U99" s="11" t="s">
        <v>20</v>
      </c>
    </row>
    <row r="100" spans="1:21" x14ac:dyDescent="0.25">
      <c r="A100" s="10" t="s">
        <v>231</v>
      </c>
      <c r="B100" s="11" t="s">
        <v>47</v>
      </c>
      <c r="C100" s="11"/>
      <c r="D100" t="s">
        <v>48</v>
      </c>
      <c r="E100" s="11" t="s">
        <v>233</v>
      </c>
      <c r="F100" s="11" t="s">
        <v>14</v>
      </c>
      <c r="G100" s="12" t="s">
        <v>33</v>
      </c>
      <c r="H100" s="12">
        <v>2</v>
      </c>
      <c r="I100" s="12">
        <v>168</v>
      </c>
      <c r="J100" s="12">
        <v>1200</v>
      </c>
      <c r="K100" s="12" t="s">
        <v>15</v>
      </c>
      <c r="L100" s="12">
        <v>2100</v>
      </c>
      <c r="M100" s="11" t="s">
        <v>16</v>
      </c>
      <c r="N100" s="12" t="s">
        <v>33</v>
      </c>
      <c r="P100" s="11">
        <v>1950</v>
      </c>
      <c r="Q100" s="11">
        <v>2080</v>
      </c>
      <c r="R100" s="11" t="s">
        <v>18</v>
      </c>
      <c r="S100" s="11" t="s">
        <v>35</v>
      </c>
      <c r="T100" s="11">
        <v>2007</v>
      </c>
      <c r="U100" s="11" t="s">
        <v>20</v>
      </c>
    </row>
    <row r="101" spans="1:21" x14ac:dyDescent="0.25">
      <c r="A101" s="10" t="s">
        <v>234</v>
      </c>
      <c r="B101" s="11" t="s">
        <v>235</v>
      </c>
      <c r="C101" s="11" t="s">
        <v>38</v>
      </c>
      <c r="D101" t="s">
        <v>39</v>
      </c>
      <c r="E101" s="11" t="s">
        <v>20</v>
      </c>
      <c r="F101" s="11" t="s">
        <v>14</v>
      </c>
      <c r="G101" s="12" t="s">
        <v>17</v>
      </c>
      <c r="H101" s="12">
        <v>2</v>
      </c>
      <c r="I101" s="12">
        <v>89</v>
      </c>
      <c r="J101" s="12">
        <v>1300</v>
      </c>
      <c r="K101" s="12" t="s">
        <v>15</v>
      </c>
      <c r="L101" s="12">
        <v>1500</v>
      </c>
      <c r="M101" s="11" t="s">
        <v>16</v>
      </c>
      <c r="N101" s="12" t="s">
        <v>17</v>
      </c>
      <c r="P101" s="11">
        <v>2155</v>
      </c>
      <c r="Q101" s="11">
        <v>2140</v>
      </c>
      <c r="R101" s="11" t="s">
        <v>18</v>
      </c>
      <c r="S101" s="11" t="s">
        <v>19</v>
      </c>
      <c r="T101" s="11">
        <v>2014</v>
      </c>
      <c r="U101" s="11" t="s">
        <v>20</v>
      </c>
    </row>
    <row r="102" spans="1:21" x14ac:dyDescent="0.25">
      <c r="A102" s="10" t="s">
        <v>236</v>
      </c>
      <c r="B102" s="11" t="s">
        <v>235</v>
      </c>
      <c r="C102" s="11" t="s">
        <v>38</v>
      </c>
      <c r="D102" t="s">
        <v>39</v>
      </c>
      <c r="E102" s="11" t="s">
        <v>20</v>
      </c>
      <c r="F102" s="11" t="s">
        <v>14</v>
      </c>
      <c r="G102" s="12" t="s">
        <v>17</v>
      </c>
      <c r="H102" s="12">
        <v>2</v>
      </c>
      <c r="I102" s="12">
        <v>194</v>
      </c>
      <c r="J102" s="12">
        <v>1050</v>
      </c>
      <c r="K102" s="12" t="s">
        <v>15</v>
      </c>
      <c r="L102" s="12">
        <v>1500</v>
      </c>
      <c r="M102" s="11" t="s">
        <v>16</v>
      </c>
      <c r="N102" s="12" t="s">
        <v>33</v>
      </c>
      <c r="P102" s="11">
        <v>2260</v>
      </c>
      <c r="Q102" s="11">
        <v>3595</v>
      </c>
      <c r="R102" s="11" t="s">
        <v>18</v>
      </c>
      <c r="S102" s="11" t="s">
        <v>67</v>
      </c>
      <c r="T102" s="11">
        <v>2012</v>
      </c>
      <c r="U102" s="11" t="s">
        <v>20</v>
      </c>
    </row>
    <row r="103" spans="1:21" x14ac:dyDescent="0.25">
      <c r="A103" s="10" t="s">
        <v>237</v>
      </c>
      <c r="B103" s="11" t="s">
        <v>10</v>
      </c>
      <c r="C103" s="11" t="s">
        <v>238</v>
      </c>
      <c r="D103" t="s">
        <v>12</v>
      </c>
      <c r="E103" s="11" t="s">
        <v>13</v>
      </c>
      <c r="F103" s="11" t="s">
        <v>175</v>
      </c>
      <c r="G103" s="12" t="s">
        <v>33</v>
      </c>
      <c r="H103" s="12">
        <v>1</v>
      </c>
      <c r="I103" s="12">
        <v>76</v>
      </c>
      <c r="J103" s="12" t="s">
        <v>13</v>
      </c>
      <c r="K103" s="12" t="s">
        <v>15</v>
      </c>
      <c r="L103" s="12">
        <v>2000</v>
      </c>
      <c r="M103" s="11" t="s">
        <v>16</v>
      </c>
      <c r="N103" s="12" t="s">
        <v>33</v>
      </c>
      <c r="P103" s="11">
        <v>600</v>
      </c>
      <c r="Q103" s="11">
        <v>600</v>
      </c>
      <c r="S103" s="11" t="s">
        <v>19</v>
      </c>
      <c r="T103" s="11" t="s">
        <v>55</v>
      </c>
      <c r="U103" s="11" t="s">
        <v>20</v>
      </c>
    </row>
    <row r="104" spans="1:21" x14ac:dyDescent="0.25">
      <c r="A104" s="10" t="s">
        <v>240</v>
      </c>
      <c r="B104" s="11" t="s">
        <v>54</v>
      </c>
      <c r="C104" s="11" t="s">
        <v>223</v>
      </c>
      <c r="D104" t="s">
        <v>75</v>
      </c>
      <c r="E104" s="11" t="s">
        <v>13</v>
      </c>
      <c r="F104" s="11" t="s">
        <v>175</v>
      </c>
      <c r="G104" s="12" t="s">
        <v>33</v>
      </c>
      <c r="H104" s="12">
        <v>1</v>
      </c>
      <c r="I104" s="12">
        <v>139</v>
      </c>
      <c r="J104" s="12" t="s">
        <v>13</v>
      </c>
      <c r="K104" s="12" t="s">
        <v>15</v>
      </c>
      <c r="L104" s="12">
        <v>2100</v>
      </c>
      <c r="M104" s="11" t="s">
        <v>16</v>
      </c>
      <c r="N104" s="12" t="s">
        <v>33</v>
      </c>
      <c r="P104" s="11">
        <v>1200</v>
      </c>
      <c r="Q104" s="11">
        <v>2400</v>
      </c>
      <c r="R104" s="11" t="s">
        <v>83</v>
      </c>
      <c r="S104" s="11" t="s">
        <v>67</v>
      </c>
      <c r="T104" s="11">
        <v>2009</v>
      </c>
      <c r="U104" s="11" t="s">
        <v>20</v>
      </c>
    </row>
    <row r="105" spans="1:21" x14ac:dyDescent="0.25">
      <c r="A105" s="10" t="s">
        <v>242</v>
      </c>
      <c r="B105" s="11" t="s">
        <v>54</v>
      </c>
      <c r="C105" s="11" t="s">
        <v>227</v>
      </c>
      <c r="D105" t="s">
        <v>75</v>
      </c>
      <c r="E105" s="11" t="s">
        <v>13</v>
      </c>
      <c r="F105" s="11" t="s">
        <v>175</v>
      </c>
      <c r="G105" s="12" t="s">
        <v>33</v>
      </c>
      <c r="H105" s="12">
        <v>1</v>
      </c>
      <c r="I105" s="12">
        <v>139</v>
      </c>
      <c r="J105" s="12" t="s">
        <v>13</v>
      </c>
      <c r="K105" s="12" t="s">
        <v>15</v>
      </c>
      <c r="L105" s="12">
        <v>2100</v>
      </c>
      <c r="M105" s="11" t="s">
        <v>16</v>
      </c>
      <c r="N105" s="12" t="s">
        <v>17</v>
      </c>
      <c r="P105" s="11">
        <v>1200</v>
      </c>
      <c r="Q105" s="11">
        <v>2400</v>
      </c>
      <c r="R105" s="11" t="s">
        <v>83</v>
      </c>
      <c r="S105" s="11" t="s">
        <v>67</v>
      </c>
      <c r="T105" s="11">
        <v>2009</v>
      </c>
      <c r="U105" s="11" t="s">
        <v>243</v>
      </c>
    </row>
    <row r="106" spans="1:21" x14ac:dyDescent="0.25">
      <c r="A106" s="10" t="s">
        <v>244</v>
      </c>
      <c r="B106" s="11" t="s">
        <v>54</v>
      </c>
      <c r="C106" s="11" t="s">
        <v>229</v>
      </c>
      <c r="D106" t="s">
        <v>75</v>
      </c>
      <c r="E106" s="11" t="s">
        <v>20</v>
      </c>
      <c r="F106" s="11" t="s">
        <v>14</v>
      </c>
      <c r="G106" s="12" t="s">
        <v>17</v>
      </c>
      <c r="H106" s="12">
        <v>1</v>
      </c>
      <c r="I106" s="12">
        <v>139</v>
      </c>
      <c r="J106" s="12" t="s">
        <v>13</v>
      </c>
      <c r="K106" s="12" t="s">
        <v>15</v>
      </c>
      <c r="L106" s="12">
        <v>1900</v>
      </c>
      <c r="M106" s="11" t="s">
        <v>16</v>
      </c>
      <c r="N106" s="12" t="s">
        <v>33</v>
      </c>
      <c r="P106" s="11">
        <v>1200</v>
      </c>
      <c r="Q106" s="11">
        <v>2400</v>
      </c>
      <c r="R106" s="11" t="s">
        <v>83</v>
      </c>
      <c r="S106" s="11" t="s">
        <v>67</v>
      </c>
      <c r="T106" s="11">
        <v>2009</v>
      </c>
      <c r="U106" s="11" t="s">
        <v>20</v>
      </c>
    </row>
    <row r="107" spans="1:21" x14ac:dyDescent="0.25">
      <c r="A107" s="10" t="s">
        <v>245</v>
      </c>
      <c r="B107" s="11" t="s">
        <v>54</v>
      </c>
      <c r="C107" s="11" t="s">
        <v>227</v>
      </c>
      <c r="D107" t="s">
        <v>75</v>
      </c>
      <c r="E107" s="11" t="s">
        <v>13</v>
      </c>
      <c r="F107" s="11" t="s">
        <v>14</v>
      </c>
      <c r="G107" s="12" t="s">
        <v>17</v>
      </c>
      <c r="H107" s="12">
        <v>1</v>
      </c>
      <c r="I107" s="12">
        <v>139</v>
      </c>
      <c r="J107" s="12" t="s">
        <v>13</v>
      </c>
      <c r="K107" s="12" t="s">
        <v>15</v>
      </c>
      <c r="L107" s="12">
        <v>1900</v>
      </c>
      <c r="M107" s="11" t="s">
        <v>16</v>
      </c>
      <c r="N107" s="12" t="s">
        <v>17</v>
      </c>
      <c r="P107" s="11">
        <v>1200</v>
      </c>
      <c r="Q107" s="11">
        <v>2400</v>
      </c>
      <c r="R107" s="11" t="s">
        <v>83</v>
      </c>
      <c r="S107" s="11" t="s">
        <v>67</v>
      </c>
      <c r="T107" s="11">
        <v>2009</v>
      </c>
      <c r="U107" s="11" t="s">
        <v>20</v>
      </c>
    </row>
    <row r="108" spans="1:21" x14ac:dyDescent="0.25">
      <c r="A108" s="10" t="s">
        <v>246</v>
      </c>
      <c r="B108" s="11" t="s">
        <v>24</v>
      </c>
      <c r="C108" s="11" t="s">
        <v>249</v>
      </c>
      <c r="D108" t="s">
        <v>12</v>
      </c>
      <c r="E108" s="11" t="s">
        <v>13</v>
      </c>
      <c r="F108" s="11" t="s">
        <v>175</v>
      </c>
      <c r="G108" s="12" t="s">
        <v>0</v>
      </c>
      <c r="H108" s="12">
        <v>1</v>
      </c>
      <c r="I108" s="12">
        <v>76</v>
      </c>
      <c r="J108" s="12" t="s">
        <v>13</v>
      </c>
      <c r="K108" s="12" t="s">
        <v>15</v>
      </c>
      <c r="L108" s="12">
        <v>2400</v>
      </c>
      <c r="M108" s="11" t="s">
        <v>16</v>
      </c>
      <c r="N108" s="12" t="s">
        <v>33</v>
      </c>
      <c r="P108" s="11">
        <v>750</v>
      </c>
      <c r="Q108" s="11">
        <v>750</v>
      </c>
      <c r="S108" s="11" t="s">
        <v>19</v>
      </c>
      <c r="T108" s="11" t="s">
        <v>55</v>
      </c>
      <c r="U108" s="11" t="s">
        <v>20</v>
      </c>
    </row>
    <row r="109" spans="1:21" x14ac:dyDescent="0.25">
      <c r="A109" s="10" t="s">
        <v>251</v>
      </c>
      <c r="B109" s="11" t="s">
        <v>32</v>
      </c>
      <c r="C109" s="11" t="s">
        <v>32</v>
      </c>
      <c r="D109" t="s">
        <v>48</v>
      </c>
      <c r="E109" s="11" t="s">
        <v>233</v>
      </c>
      <c r="F109" s="11" t="s">
        <v>175</v>
      </c>
      <c r="G109" s="12" t="s">
        <v>33</v>
      </c>
      <c r="H109" s="12">
        <v>2</v>
      </c>
      <c r="I109" s="12">
        <v>219</v>
      </c>
      <c r="J109" s="12">
        <v>900</v>
      </c>
      <c r="K109" s="12" t="s">
        <v>93</v>
      </c>
      <c r="L109" s="12">
        <v>3000</v>
      </c>
      <c r="M109" s="11" t="s">
        <v>16</v>
      </c>
      <c r="N109" s="12" t="s">
        <v>17</v>
      </c>
      <c r="P109" s="11">
        <v>1765</v>
      </c>
      <c r="Q109" s="11">
        <v>2340</v>
      </c>
      <c r="R109" s="11" t="s">
        <v>18</v>
      </c>
      <c r="S109" s="11" t="s">
        <v>19</v>
      </c>
      <c r="T109" s="11">
        <v>2014</v>
      </c>
      <c r="U109" s="11" t="s">
        <v>20</v>
      </c>
    </row>
    <row r="110" spans="1:21" x14ac:dyDescent="0.25">
      <c r="A110" s="10" t="s">
        <v>254</v>
      </c>
      <c r="B110" s="11" t="s">
        <v>10</v>
      </c>
      <c r="C110" s="11" t="s">
        <v>28</v>
      </c>
      <c r="D110" t="s">
        <v>39</v>
      </c>
      <c r="E110" s="11" t="s">
        <v>20</v>
      </c>
      <c r="F110" s="11" t="s">
        <v>14</v>
      </c>
      <c r="G110" s="12" t="s">
        <v>0</v>
      </c>
      <c r="H110" s="12">
        <v>3</v>
      </c>
      <c r="I110" s="12">
        <v>76</v>
      </c>
      <c r="J110" s="12" t="s">
        <v>13</v>
      </c>
      <c r="K110" s="12" t="s">
        <v>15</v>
      </c>
      <c r="L110" s="12">
        <v>1400</v>
      </c>
      <c r="M110" s="11" t="s">
        <v>16</v>
      </c>
      <c r="N110" s="12" t="s">
        <v>33</v>
      </c>
      <c r="P110" s="11">
        <v>2550</v>
      </c>
      <c r="Q110" s="11">
        <v>600</v>
      </c>
      <c r="R110" s="11" t="s">
        <v>83</v>
      </c>
      <c r="S110" s="11" t="s">
        <v>67</v>
      </c>
      <c r="T110" s="11">
        <v>2013</v>
      </c>
      <c r="U110" s="11" t="s">
        <v>20</v>
      </c>
    </row>
    <row r="111" spans="1:21" x14ac:dyDescent="0.25">
      <c r="A111" s="10" t="s">
        <v>256</v>
      </c>
      <c r="B111" s="11" t="s">
        <v>199</v>
      </c>
      <c r="C111" s="11" t="s">
        <v>199</v>
      </c>
      <c r="D111" t="s">
        <v>39</v>
      </c>
      <c r="E111" s="11" t="s">
        <v>20</v>
      </c>
      <c r="F111" s="11" t="s">
        <v>14</v>
      </c>
      <c r="G111" s="12" t="s">
        <v>0</v>
      </c>
      <c r="H111" s="12">
        <v>3</v>
      </c>
      <c r="I111" s="12">
        <v>76</v>
      </c>
      <c r="J111" s="12">
        <v>950</v>
      </c>
      <c r="K111" s="12" t="s">
        <v>15</v>
      </c>
      <c r="L111" s="12">
        <v>1000</v>
      </c>
      <c r="M111" s="11" t="s">
        <v>16</v>
      </c>
      <c r="N111" s="12" t="s">
        <v>33</v>
      </c>
      <c r="P111" s="11">
        <v>2550</v>
      </c>
      <c r="Q111" s="11">
        <v>410</v>
      </c>
      <c r="R111" s="11" t="s">
        <v>83</v>
      </c>
      <c r="S111" s="11" t="s">
        <v>67</v>
      </c>
      <c r="T111" s="11">
        <v>2012</v>
      </c>
      <c r="U111" s="11" t="s">
        <v>20</v>
      </c>
    </row>
    <row r="112" spans="1:21" x14ac:dyDescent="0.25">
      <c r="A112" s="10" t="s">
        <v>258</v>
      </c>
      <c r="B112" s="11" t="s">
        <v>24</v>
      </c>
      <c r="C112" s="11" t="s">
        <v>259</v>
      </c>
      <c r="D112" t="s">
        <v>12</v>
      </c>
      <c r="E112" s="11" t="s">
        <v>13</v>
      </c>
      <c r="F112" s="11" t="s">
        <v>14</v>
      </c>
      <c r="G112" s="12" t="s">
        <v>17</v>
      </c>
      <c r="H112" s="12">
        <v>1</v>
      </c>
      <c r="I112" s="12">
        <v>76</v>
      </c>
      <c r="J112" s="12" t="s">
        <v>13</v>
      </c>
      <c r="K112" s="12" t="s">
        <v>15</v>
      </c>
      <c r="L112" s="12">
        <v>2100</v>
      </c>
      <c r="M112" s="11" t="s">
        <v>16</v>
      </c>
      <c r="N112" s="12" t="s">
        <v>33</v>
      </c>
      <c r="P112" s="11">
        <v>750</v>
      </c>
      <c r="Q112" s="11">
        <v>750</v>
      </c>
      <c r="R112" s="11" t="s">
        <v>34</v>
      </c>
      <c r="S112" s="11" t="s">
        <v>67</v>
      </c>
      <c r="T112" s="11">
        <v>2013</v>
      </c>
      <c r="U112" s="11" t="s">
        <v>20</v>
      </c>
    </row>
    <row r="113" spans="1:21" x14ac:dyDescent="0.25">
      <c r="A113" s="10" t="s">
        <v>260</v>
      </c>
      <c r="B113" s="11" t="s">
        <v>10</v>
      </c>
      <c r="C113" s="11" t="s">
        <v>28</v>
      </c>
      <c r="D113" t="s">
        <v>39</v>
      </c>
      <c r="E113" s="11" t="s">
        <v>20</v>
      </c>
      <c r="F113" s="11" t="s">
        <v>14</v>
      </c>
      <c r="G113" s="12" t="s">
        <v>0</v>
      </c>
      <c r="H113" s="12">
        <v>3</v>
      </c>
      <c r="I113" s="12">
        <v>76</v>
      </c>
      <c r="J113" s="12">
        <v>850</v>
      </c>
      <c r="K113" s="12" t="s">
        <v>15</v>
      </c>
      <c r="L113" s="12">
        <v>1400</v>
      </c>
      <c r="M113" s="11" t="s">
        <v>16</v>
      </c>
      <c r="N113" s="12" t="s">
        <v>17</v>
      </c>
      <c r="P113" s="11">
        <v>2550</v>
      </c>
      <c r="Q113" s="11">
        <v>600</v>
      </c>
      <c r="R113" s="11" t="s">
        <v>83</v>
      </c>
      <c r="S113" s="11" t="s">
        <v>67</v>
      </c>
      <c r="T113" s="11">
        <v>2013</v>
      </c>
      <c r="U113" s="11" t="s">
        <v>20</v>
      </c>
    </row>
    <row r="114" spans="1:21" x14ac:dyDescent="0.25">
      <c r="A114" s="10" t="s">
        <v>262</v>
      </c>
      <c r="B114" s="11" t="s">
        <v>199</v>
      </c>
      <c r="C114" s="11" t="s">
        <v>199</v>
      </c>
      <c r="D114" t="s">
        <v>39</v>
      </c>
      <c r="E114" s="11" t="s">
        <v>20</v>
      </c>
      <c r="F114" s="11" t="s">
        <v>14</v>
      </c>
      <c r="G114" s="12" t="s">
        <v>0</v>
      </c>
      <c r="H114" s="12">
        <v>3</v>
      </c>
      <c r="I114" s="12">
        <v>76</v>
      </c>
      <c r="J114" s="12">
        <v>850</v>
      </c>
      <c r="K114" s="12" t="s">
        <v>15</v>
      </c>
      <c r="L114" s="12">
        <v>1000</v>
      </c>
      <c r="M114" s="11" t="s">
        <v>16</v>
      </c>
      <c r="N114" s="12" t="s">
        <v>33</v>
      </c>
      <c r="P114" s="11">
        <v>2550</v>
      </c>
      <c r="Q114" s="11">
        <v>410</v>
      </c>
      <c r="R114" s="11" t="s">
        <v>83</v>
      </c>
      <c r="S114" s="11" t="s">
        <v>67</v>
      </c>
      <c r="T114" s="11">
        <v>2012</v>
      </c>
      <c r="U114" s="11" t="s">
        <v>20</v>
      </c>
    </row>
    <row r="115" spans="1:21" x14ac:dyDescent="0.25">
      <c r="A115" s="10" t="s">
        <v>264</v>
      </c>
      <c r="B115" s="11" t="s">
        <v>24</v>
      </c>
      <c r="C115" s="11" t="s">
        <v>259</v>
      </c>
      <c r="D115" t="s">
        <v>12</v>
      </c>
      <c r="E115" s="11" t="s">
        <v>13</v>
      </c>
      <c r="F115" s="11" t="s">
        <v>14</v>
      </c>
      <c r="G115" s="12" t="s">
        <v>0</v>
      </c>
      <c r="H115" s="12">
        <v>1</v>
      </c>
      <c r="I115" s="12">
        <v>76</v>
      </c>
      <c r="J115" s="12">
        <v>850</v>
      </c>
      <c r="K115" s="12" t="s">
        <v>15</v>
      </c>
      <c r="L115" s="12">
        <v>2100</v>
      </c>
      <c r="M115" s="11" t="s">
        <v>16</v>
      </c>
      <c r="N115" s="12" t="s">
        <v>17</v>
      </c>
      <c r="P115" s="11">
        <v>750</v>
      </c>
      <c r="Q115" s="11">
        <v>750</v>
      </c>
      <c r="R115" s="11" t="s">
        <v>34</v>
      </c>
      <c r="S115" s="11" t="s">
        <v>67</v>
      </c>
      <c r="T115" s="11">
        <v>2013</v>
      </c>
      <c r="U115" s="11" t="s">
        <v>20</v>
      </c>
    </row>
    <row r="116" spans="1:21" x14ac:dyDescent="0.25">
      <c r="A116" s="10" t="s">
        <v>265</v>
      </c>
      <c r="B116" s="11" t="s">
        <v>10</v>
      </c>
      <c r="C116" s="11" t="s">
        <v>28</v>
      </c>
      <c r="D116" t="s">
        <v>39</v>
      </c>
      <c r="E116" s="11" t="s">
        <v>20</v>
      </c>
      <c r="F116" s="11" t="s">
        <v>14</v>
      </c>
      <c r="G116" s="12" t="s">
        <v>0</v>
      </c>
      <c r="H116" s="12">
        <v>3</v>
      </c>
      <c r="I116" s="12">
        <v>76</v>
      </c>
      <c r="J116" s="12">
        <v>950</v>
      </c>
      <c r="K116" s="12" t="s">
        <v>15</v>
      </c>
      <c r="L116" s="12">
        <v>1400</v>
      </c>
      <c r="M116" s="11" t="s">
        <v>16</v>
      </c>
      <c r="N116" s="12" t="s">
        <v>33</v>
      </c>
      <c r="P116" s="11">
        <v>2550</v>
      </c>
      <c r="Q116" s="11">
        <v>600</v>
      </c>
      <c r="R116" s="11" t="s">
        <v>83</v>
      </c>
      <c r="S116" s="11" t="s">
        <v>67</v>
      </c>
      <c r="T116" s="11">
        <v>2013</v>
      </c>
      <c r="U116" s="11" t="s">
        <v>20</v>
      </c>
    </row>
    <row r="117" spans="1:21" x14ac:dyDescent="0.25">
      <c r="A117" s="10" t="s">
        <v>267</v>
      </c>
      <c r="B117" s="11" t="s">
        <v>199</v>
      </c>
      <c r="C117" s="11" t="s">
        <v>199</v>
      </c>
      <c r="D117" t="s">
        <v>12</v>
      </c>
      <c r="E117" s="11" t="s">
        <v>13</v>
      </c>
      <c r="F117" s="11" t="s">
        <v>14</v>
      </c>
      <c r="G117" s="12" t="s">
        <v>0</v>
      </c>
      <c r="H117" s="12">
        <v>3</v>
      </c>
      <c r="I117" s="12">
        <v>76</v>
      </c>
      <c r="J117" s="12">
        <v>950</v>
      </c>
      <c r="K117" s="12" t="s">
        <v>15</v>
      </c>
      <c r="L117" s="12">
        <v>1000</v>
      </c>
      <c r="M117" s="11" t="s">
        <v>16</v>
      </c>
      <c r="N117" s="12" t="s">
        <v>33</v>
      </c>
      <c r="P117" s="11">
        <v>2550</v>
      </c>
      <c r="Q117" s="11">
        <v>410</v>
      </c>
      <c r="R117" s="11" t="s">
        <v>83</v>
      </c>
      <c r="S117" s="11" t="s">
        <v>67</v>
      </c>
      <c r="T117" s="11">
        <v>2012</v>
      </c>
      <c r="U117" s="11" t="s">
        <v>20</v>
      </c>
    </row>
    <row r="118" spans="1:21" x14ac:dyDescent="0.25">
      <c r="A118" s="10" t="s">
        <v>269</v>
      </c>
      <c r="B118" s="11" t="s">
        <v>24</v>
      </c>
      <c r="C118" s="11" t="s">
        <v>259</v>
      </c>
      <c r="D118" t="s">
        <v>12</v>
      </c>
      <c r="E118" s="11" t="s">
        <v>13</v>
      </c>
      <c r="F118" s="11" t="s">
        <v>175</v>
      </c>
      <c r="G118" s="12" t="s">
        <v>0</v>
      </c>
      <c r="H118" s="12">
        <v>1</v>
      </c>
      <c r="I118" s="12">
        <v>76</v>
      </c>
      <c r="J118" s="12" t="s">
        <v>13</v>
      </c>
      <c r="K118" s="12" t="s">
        <v>15</v>
      </c>
      <c r="L118" s="12">
        <v>2100</v>
      </c>
      <c r="M118" s="11" t="s">
        <v>16</v>
      </c>
      <c r="N118" s="12" t="s">
        <v>33</v>
      </c>
      <c r="P118" s="11">
        <v>750</v>
      </c>
      <c r="Q118" s="11">
        <v>750</v>
      </c>
      <c r="R118" s="11" t="s">
        <v>34</v>
      </c>
      <c r="S118" s="11" t="s">
        <v>67</v>
      </c>
      <c r="T118" s="11">
        <v>2013</v>
      </c>
      <c r="U118" s="11" t="s">
        <v>20</v>
      </c>
    </row>
    <row r="119" spans="1:21" x14ac:dyDescent="0.25">
      <c r="A119" s="10" t="s">
        <v>270</v>
      </c>
      <c r="B119" s="11" t="s">
        <v>235</v>
      </c>
      <c r="C119" s="11" t="s">
        <v>235</v>
      </c>
      <c r="D119" t="s">
        <v>39</v>
      </c>
      <c r="E119" s="11" t="s">
        <v>20</v>
      </c>
      <c r="F119" s="11" t="s">
        <v>14</v>
      </c>
      <c r="G119" s="12" t="s">
        <v>17</v>
      </c>
      <c r="H119" s="12">
        <v>3</v>
      </c>
      <c r="I119" s="12">
        <v>219</v>
      </c>
      <c r="J119" s="12">
        <v>1300</v>
      </c>
      <c r="K119" s="12" t="s">
        <v>15</v>
      </c>
      <c r="L119" s="12">
        <v>1800</v>
      </c>
      <c r="M119" s="11" t="s">
        <v>16</v>
      </c>
      <c r="N119" s="12" t="s">
        <v>225</v>
      </c>
      <c r="P119" s="11">
        <v>3940</v>
      </c>
      <c r="Q119" s="11">
        <v>2140</v>
      </c>
      <c r="R119" s="11" t="s">
        <v>18</v>
      </c>
      <c r="S119" s="11" t="s">
        <v>67</v>
      </c>
      <c r="T119" s="11">
        <v>2012</v>
      </c>
      <c r="U119" s="11" t="s">
        <v>20</v>
      </c>
    </row>
    <row r="120" spans="1:21" x14ac:dyDescent="0.25">
      <c r="A120" s="10" t="s">
        <v>272</v>
      </c>
      <c r="B120" s="11" t="s">
        <v>10</v>
      </c>
      <c r="C120" s="11" t="s">
        <v>238</v>
      </c>
      <c r="D120" t="s">
        <v>12</v>
      </c>
      <c r="E120" s="11" t="s">
        <v>13</v>
      </c>
      <c r="F120" s="11" t="s">
        <v>14</v>
      </c>
      <c r="G120" s="12" t="s">
        <v>17</v>
      </c>
      <c r="H120" s="12">
        <v>1</v>
      </c>
      <c r="I120" s="12">
        <v>76</v>
      </c>
      <c r="J120" s="12" t="s">
        <v>13</v>
      </c>
      <c r="K120" s="12" t="s">
        <v>15</v>
      </c>
      <c r="L120" s="12">
        <v>1400</v>
      </c>
      <c r="M120" s="11" t="s">
        <v>16</v>
      </c>
      <c r="N120" s="12" t="s">
        <v>0</v>
      </c>
      <c r="P120" s="11">
        <v>900</v>
      </c>
      <c r="Q120" s="11">
        <v>900</v>
      </c>
      <c r="R120" s="11" t="s">
        <v>18</v>
      </c>
      <c r="S120" s="11" t="s">
        <v>19</v>
      </c>
      <c r="T120" s="11" t="s">
        <v>55</v>
      </c>
      <c r="U120" s="11" t="s">
        <v>20</v>
      </c>
    </row>
    <row r="121" spans="1:21" x14ac:dyDescent="0.25">
      <c r="A121" s="10" t="s">
        <v>273</v>
      </c>
      <c r="B121" s="11" t="s">
        <v>24</v>
      </c>
      <c r="C121" s="11" t="s">
        <v>274</v>
      </c>
      <c r="D121" t="s">
        <v>275</v>
      </c>
      <c r="E121" s="11" t="s">
        <v>20</v>
      </c>
      <c r="F121" s="11" t="s">
        <v>14</v>
      </c>
      <c r="G121" s="12" t="s">
        <v>17</v>
      </c>
      <c r="H121" s="12">
        <v>1</v>
      </c>
      <c r="I121" s="12">
        <v>76</v>
      </c>
      <c r="J121" s="12" t="s">
        <v>13</v>
      </c>
      <c r="K121" s="12" t="s">
        <v>90</v>
      </c>
      <c r="L121" s="12">
        <v>2300</v>
      </c>
      <c r="M121" s="11" t="s">
        <v>16</v>
      </c>
      <c r="N121" s="12" t="s">
        <v>0</v>
      </c>
      <c r="P121" s="11">
        <v>750</v>
      </c>
      <c r="Q121" s="11">
        <v>750</v>
      </c>
      <c r="R121" s="11" t="s">
        <v>18</v>
      </c>
      <c r="S121" s="11" t="s">
        <v>19</v>
      </c>
      <c r="T121" s="11">
        <v>2006</v>
      </c>
      <c r="U121" s="11" t="s">
        <v>20</v>
      </c>
    </row>
    <row r="122" spans="1:21" x14ac:dyDescent="0.25">
      <c r="A122" s="10" t="s">
        <v>276</v>
      </c>
      <c r="B122" s="11" t="s">
        <v>24</v>
      </c>
      <c r="C122" s="11" t="s">
        <v>58</v>
      </c>
      <c r="D122" t="s">
        <v>277</v>
      </c>
      <c r="E122" s="11" t="s">
        <v>20</v>
      </c>
      <c r="F122" s="11" t="s">
        <v>14</v>
      </c>
      <c r="G122" s="12" t="s">
        <v>17</v>
      </c>
      <c r="H122" s="12">
        <v>1</v>
      </c>
      <c r="I122" s="12">
        <v>76</v>
      </c>
      <c r="J122" s="12" t="s">
        <v>13</v>
      </c>
      <c r="K122" s="12" t="s">
        <v>90</v>
      </c>
      <c r="L122" s="12">
        <v>2300</v>
      </c>
      <c r="M122" s="11" t="s">
        <v>16</v>
      </c>
      <c r="N122" s="12" t="s">
        <v>0</v>
      </c>
      <c r="P122" s="11">
        <v>750</v>
      </c>
      <c r="Q122" s="11">
        <v>750</v>
      </c>
      <c r="R122" s="11" t="s">
        <v>18</v>
      </c>
      <c r="S122" s="11" t="s">
        <v>19</v>
      </c>
      <c r="T122" s="11">
        <v>2006</v>
      </c>
      <c r="U122" s="11" t="s">
        <v>20</v>
      </c>
    </row>
    <row r="123" spans="1:21" x14ac:dyDescent="0.25">
      <c r="A123" s="10" t="s">
        <v>278</v>
      </c>
      <c r="B123" s="11" t="s">
        <v>24</v>
      </c>
      <c r="C123" s="11" t="s">
        <v>249</v>
      </c>
      <c r="D123" t="s">
        <v>12</v>
      </c>
      <c r="E123" s="11" t="s">
        <v>13</v>
      </c>
      <c r="F123" s="11" t="s">
        <v>14</v>
      </c>
      <c r="G123" s="12" t="s">
        <v>17</v>
      </c>
      <c r="H123" s="12">
        <v>1</v>
      </c>
      <c r="I123" s="12">
        <v>89</v>
      </c>
      <c r="J123" s="12" t="s">
        <v>13</v>
      </c>
      <c r="K123" s="12" t="s">
        <v>15</v>
      </c>
      <c r="L123" s="12">
        <v>1900</v>
      </c>
      <c r="M123" s="11" t="s">
        <v>16</v>
      </c>
      <c r="N123" s="12" t="s">
        <v>33</v>
      </c>
      <c r="P123" s="11">
        <v>750</v>
      </c>
      <c r="Q123" s="11">
        <v>750</v>
      </c>
      <c r="S123" s="11" t="s">
        <v>19</v>
      </c>
      <c r="T123" s="11" t="s">
        <v>55</v>
      </c>
      <c r="U123" s="11" t="s">
        <v>20</v>
      </c>
    </row>
    <row r="124" spans="1:21" x14ac:dyDescent="0.25">
      <c r="A124" s="10" t="s">
        <v>279</v>
      </c>
      <c r="B124" s="11" t="s">
        <v>32</v>
      </c>
      <c r="C124" s="11" t="s">
        <v>38</v>
      </c>
      <c r="D124" t="s">
        <v>39</v>
      </c>
      <c r="E124" s="11" t="s">
        <v>20</v>
      </c>
      <c r="F124" s="11" t="s">
        <v>175</v>
      </c>
      <c r="G124" s="12" t="s">
        <v>0</v>
      </c>
      <c r="H124" s="12">
        <v>2</v>
      </c>
      <c r="I124" s="12">
        <v>76</v>
      </c>
      <c r="J124" s="12">
        <v>1050</v>
      </c>
      <c r="K124" s="12" t="s">
        <v>93</v>
      </c>
      <c r="L124" s="12">
        <v>2400</v>
      </c>
      <c r="M124" s="11" t="s">
        <v>16</v>
      </c>
      <c r="N124" s="12" t="s">
        <v>17</v>
      </c>
      <c r="P124" s="11">
        <v>1600</v>
      </c>
      <c r="Q124" s="11">
        <v>1140</v>
      </c>
      <c r="R124" s="11" t="s">
        <v>18</v>
      </c>
      <c r="S124" s="11" t="s">
        <v>35</v>
      </c>
      <c r="T124" s="11">
        <v>2007</v>
      </c>
      <c r="U124" s="11" t="s">
        <v>20</v>
      </c>
    </row>
    <row r="125" spans="1:21" x14ac:dyDescent="0.25">
      <c r="A125" s="10" t="s">
        <v>282</v>
      </c>
      <c r="B125" s="11" t="s">
        <v>24</v>
      </c>
      <c r="C125" s="11" t="s">
        <v>283</v>
      </c>
      <c r="D125" t="s">
        <v>12</v>
      </c>
      <c r="E125" s="11" t="s">
        <v>13</v>
      </c>
      <c r="F125" s="11" t="s">
        <v>13</v>
      </c>
      <c r="G125" s="12" t="s">
        <v>225</v>
      </c>
      <c r="H125" s="12">
        <v>1</v>
      </c>
      <c r="I125" s="12">
        <v>76</v>
      </c>
      <c r="J125" s="12" t="s">
        <v>13</v>
      </c>
      <c r="K125" s="12" t="s">
        <v>284</v>
      </c>
      <c r="L125" s="12">
        <v>1500</v>
      </c>
      <c r="M125" s="11" t="s">
        <v>16</v>
      </c>
      <c r="N125" s="12" t="s">
        <v>33</v>
      </c>
      <c r="P125" s="11">
        <v>600</v>
      </c>
      <c r="Q125" s="11">
        <v>600</v>
      </c>
      <c r="R125" s="11" t="s">
        <v>34</v>
      </c>
      <c r="S125" s="11" t="s">
        <v>55</v>
      </c>
      <c r="T125" s="11" t="s">
        <v>55</v>
      </c>
      <c r="U125" s="11" t="s">
        <v>20</v>
      </c>
    </row>
    <row r="126" spans="1:21" x14ac:dyDescent="0.25">
      <c r="A126" s="10" t="s">
        <v>285</v>
      </c>
      <c r="B126" s="11" t="s">
        <v>287</v>
      </c>
      <c r="C126" s="11" t="s">
        <v>38</v>
      </c>
      <c r="D126" t="s">
        <v>36</v>
      </c>
      <c r="E126" s="11" t="s">
        <v>20</v>
      </c>
      <c r="F126" s="11" t="s">
        <v>288</v>
      </c>
      <c r="G126" s="12" t="s">
        <v>17</v>
      </c>
      <c r="H126" s="12" t="s">
        <v>20</v>
      </c>
      <c r="I126" s="12" t="s">
        <v>36</v>
      </c>
      <c r="J126" s="12" t="s">
        <v>13</v>
      </c>
      <c r="K126" s="12" t="s">
        <v>93</v>
      </c>
      <c r="L126" s="12">
        <v>150</v>
      </c>
      <c r="M126" s="11" t="s">
        <v>16</v>
      </c>
      <c r="N126" s="12" t="s">
        <v>17</v>
      </c>
      <c r="P126" s="11">
        <v>270</v>
      </c>
      <c r="Q126" s="11">
        <v>270</v>
      </c>
      <c r="R126" s="11" t="s">
        <v>18</v>
      </c>
      <c r="S126" s="11" t="s">
        <v>55</v>
      </c>
      <c r="T126" s="11" t="s">
        <v>55</v>
      </c>
      <c r="U126" s="11" t="s">
        <v>20</v>
      </c>
    </row>
    <row r="127" spans="1:21" x14ac:dyDescent="0.25">
      <c r="A127" s="10" t="s">
        <v>289</v>
      </c>
      <c r="B127" s="11" t="s">
        <v>10</v>
      </c>
      <c r="C127" s="11" t="s">
        <v>238</v>
      </c>
      <c r="D127" t="s">
        <v>277</v>
      </c>
      <c r="E127" s="11" t="s">
        <v>13</v>
      </c>
      <c r="F127" s="11" t="s">
        <v>175</v>
      </c>
      <c r="G127" s="12" t="s">
        <v>33</v>
      </c>
      <c r="H127" s="12">
        <v>1</v>
      </c>
      <c r="I127" s="12">
        <v>76</v>
      </c>
      <c r="J127" s="12" t="s">
        <v>13</v>
      </c>
      <c r="K127" s="12" t="s">
        <v>15</v>
      </c>
      <c r="L127" s="12">
        <v>2300</v>
      </c>
      <c r="M127" s="11" t="s">
        <v>16</v>
      </c>
      <c r="N127" s="12" t="s">
        <v>17</v>
      </c>
      <c r="P127" s="11">
        <v>600</v>
      </c>
      <c r="Q127" s="11">
        <v>600</v>
      </c>
      <c r="R127" s="11" t="s">
        <v>18</v>
      </c>
      <c r="S127" s="11" t="s">
        <v>19</v>
      </c>
      <c r="T127" s="11">
        <v>2006</v>
      </c>
      <c r="U127" s="11" t="s">
        <v>20</v>
      </c>
    </row>
    <row r="128" spans="1:21" x14ac:dyDescent="0.25">
      <c r="A128" s="10" t="s">
        <v>290</v>
      </c>
      <c r="B128" s="11" t="s">
        <v>235</v>
      </c>
      <c r="C128" s="11" t="s">
        <v>235</v>
      </c>
      <c r="D128" t="s">
        <v>48</v>
      </c>
      <c r="E128" s="11" t="s">
        <v>233</v>
      </c>
      <c r="F128" s="11" t="s">
        <v>14</v>
      </c>
      <c r="G128" s="12" t="s">
        <v>17</v>
      </c>
      <c r="H128" s="12">
        <v>2</v>
      </c>
      <c r="I128" s="12">
        <v>219</v>
      </c>
      <c r="J128" s="12">
        <v>1200</v>
      </c>
      <c r="K128" s="12" t="s">
        <v>15</v>
      </c>
      <c r="L128" s="12">
        <v>1900</v>
      </c>
      <c r="M128" s="11" t="s">
        <v>16</v>
      </c>
      <c r="N128" s="12" t="s">
        <v>33</v>
      </c>
      <c r="P128" s="11">
        <v>2185</v>
      </c>
      <c r="Q128" s="11">
        <v>3620</v>
      </c>
      <c r="S128" s="11" t="s">
        <v>35</v>
      </c>
      <c r="T128" s="11">
        <v>2007</v>
      </c>
      <c r="U128" s="11" t="s">
        <v>20</v>
      </c>
    </row>
    <row r="129" spans="1:21" x14ac:dyDescent="0.25">
      <c r="A129" s="10" t="s">
        <v>292</v>
      </c>
      <c r="B129" s="11" t="s">
        <v>235</v>
      </c>
      <c r="C129" s="11" t="s">
        <v>38</v>
      </c>
      <c r="D129" t="s">
        <v>39</v>
      </c>
      <c r="E129" s="11" t="s">
        <v>20</v>
      </c>
      <c r="F129" s="11" t="s">
        <v>14</v>
      </c>
      <c r="G129" s="12" t="s">
        <v>17</v>
      </c>
      <c r="H129" s="12">
        <v>2</v>
      </c>
      <c r="I129" s="12">
        <v>114</v>
      </c>
      <c r="J129" s="12">
        <v>1400</v>
      </c>
      <c r="K129" s="12" t="s">
        <v>15</v>
      </c>
      <c r="L129" s="12">
        <v>1700</v>
      </c>
      <c r="M129" s="11" t="s">
        <v>16</v>
      </c>
      <c r="N129" s="12" t="s">
        <v>33</v>
      </c>
      <c r="P129" s="11">
        <v>2075</v>
      </c>
      <c r="Q129" s="11">
        <v>1765</v>
      </c>
      <c r="R129" s="11" t="s">
        <v>83</v>
      </c>
      <c r="S129" s="11" t="s">
        <v>67</v>
      </c>
      <c r="T129" s="11">
        <v>2013</v>
      </c>
      <c r="U129" s="11" t="s">
        <v>20</v>
      </c>
    </row>
    <row r="130" spans="1:21" x14ac:dyDescent="0.25">
      <c r="A130" s="10" t="s">
        <v>293</v>
      </c>
      <c r="B130" s="11" t="s">
        <v>24</v>
      </c>
      <c r="C130" s="11" t="s">
        <v>249</v>
      </c>
      <c r="D130" t="s">
        <v>12</v>
      </c>
      <c r="E130" s="11" t="s">
        <v>13</v>
      </c>
      <c r="F130" s="11" t="s">
        <v>14</v>
      </c>
      <c r="G130" s="12" t="s">
        <v>17</v>
      </c>
      <c r="H130" s="12">
        <v>1</v>
      </c>
      <c r="I130" s="12">
        <v>76</v>
      </c>
      <c r="J130" s="12" t="s">
        <v>13</v>
      </c>
      <c r="K130" s="12" t="s">
        <v>15</v>
      </c>
      <c r="L130" s="12">
        <v>1800</v>
      </c>
      <c r="M130" s="11" t="s">
        <v>16</v>
      </c>
      <c r="N130" s="12" t="s">
        <v>33</v>
      </c>
      <c r="P130" s="11">
        <v>750</v>
      </c>
      <c r="Q130" s="11">
        <v>750</v>
      </c>
      <c r="S130" s="11" t="s">
        <v>19</v>
      </c>
      <c r="T130" s="11" t="s">
        <v>55</v>
      </c>
      <c r="U130" s="11" t="s">
        <v>20</v>
      </c>
    </row>
    <row r="131" spans="1:21" x14ac:dyDescent="0.25">
      <c r="A131" s="10" t="s">
        <v>294</v>
      </c>
      <c r="B131" s="11" t="s">
        <v>32</v>
      </c>
      <c r="C131" s="11" t="s">
        <v>38</v>
      </c>
      <c r="D131" t="s">
        <v>39</v>
      </c>
      <c r="E131" s="11" t="s">
        <v>20</v>
      </c>
      <c r="F131" s="11" t="s">
        <v>175</v>
      </c>
      <c r="G131" s="12" t="s">
        <v>17</v>
      </c>
      <c r="H131" s="12">
        <v>2</v>
      </c>
      <c r="I131" s="12">
        <v>89</v>
      </c>
      <c r="J131" s="12">
        <v>1150</v>
      </c>
      <c r="K131" s="12" t="s">
        <v>93</v>
      </c>
      <c r="L131" s="12">
        <v>1800</v>
      </c>
      <c r="M131" s="11" t="s">
        <v>16</v>
      </c>
      <c r="N131" s="12" t="s">
        <v>33</v>
      </c>
      <c r="P131" s="11">
        <v>1860</v>
      </c>
      <c r="Q131" s="11">
        <v>1880</v>
      </c>
      <c r="R131" s="11" t="s">
        <v>18</v>
      </c>
      <c r="S131" s="11" t="s">
        <v>67</v>
      </c>
      <c r="T131" s="11">
        <v>2012</v>
      </c>
      <c r="U131" s="11" t="s">
        <v>20</v>
      </c>
    </row>
    <row r="132" spans="1:21" x14ac:dyDescent="0.25">
      <c r="A132" s="10" t="s">
        <v>296</v>
      </c>
      <c r="B132" s="11" t="s">
        <v>235</v>
      </c>
      <c r="C132" s="11" t="s">
        <v>235</v>
      </c>
      <c r="D132" t="s">
        <v>39</v>
      </c>
      <c r="E132" s="11" t="s">
        <v>20</v>
      </c>
      <c r="F132" s="11" t="s">
        <v>14</v>
      </c>
      <c r="G132" s="12" t="s">
        <v>17</v>
      </c>
      <c r="H132" s="12">
        <v>2</v>
      </c>
      <c r="I132" s="12">
        <v>168</v>
      </c>
      <c r="J132" s="12">
        <v>900</v>
      </c>
      <c r="K132" s="12" t="s">
        <v>15</v>
      </c>
      <c r="L132" s="12">
        <v>2800</v>
      </c>
      <c r="M132" s="11" t="s">
        <v>16</v>
      </c>
      <c r="N132" s="12" t="s">
        <v>17</v>
      </c>
      <c r="P132" s="11">
        <v>1800</v>
      </c>
      <c r="Q132" s="11">
        <v>2390</v>
      </c>
      <c r="R132" s="11" t="s">
        <v>18</v>
      </c>
      <c r="S132" s="11" t="s">
        <v>67</v>
      </c>
      <c r="T132" s="11">
        <v>2012</v>
      </c>
      <c r="U132" s="11" t="s">
        <v>20</v>
      </c>
    </row>
    <row r="133" spans="1:21" x14ac:dyDescent="0.25">
      <c r="A133" s="10" t="s">
        <v>298</v>
      </c>
      <c r="B133" s="11" t="s">
        <v>10</v>
      </c>
      <c r="C133" s="11" t="s">
        <v>62</v>
      </c>
      <c r="D133" t="s">
        <v>12</v>
      </c>
      <c r="E133" s="11" t="s">
        <v>13</v>
      </c>
      <c r="F133" s="11" t="s">
        <v>14</v>
      </c>
      <c r="G133" s="12" t="s">
        <v>17</v>
      </c>
      <c r="H133" s="12">
        <v>1</v>
      </c>
      <c r="I133" s="12">
        <v>76</v>
      </c>
      <c r="J133" s="12" t="s">
        <v>13</v>
      </c>
      <c r="K133" s="12" t="s">
        <v>63</v>
      </c>
      <c r="L133" s="12">
        <v>2700</v>
      </c>
      <c r="M133" s="11" t="s">
        <v>16</v>
      </c>
      <c r="N133" s="12" t="s">
        <v>33</v>
      </c>
      <c r="P133" s="11">
        <v>600</v>
      </c>
      <c r="Q133" s="11">
        <v>600</v>
      </c>
      <c r="R133" s="11" t="s">
        <v>34</v>
      </c>
      <c r="S133" s="11" t="s">
        <v>19</v>
      </c>
      <c r="T133" s="11" t="s">
        <v>55</v>
      </c>
      <c r="U133" s="11" t="s">
        <v>20</v>
      </c>
    </row>
    <row r="134" spans="1:21" x14ac:dyDescent="0.25">
      <c r="A134" s="10" t="s">
        <v>299</v>
      </c>
      <c r="B134" s="11" t="s">
        <v>32</v>
      </c>
      <c r="C134" s="11" t="s">
        <v>32</v>
      </c>
      <c r="D134" t="s">
        <v>39</v>
      </c>
      <c r="E134" s="11" t="s">
        <v>20</v>
      </c>
      <c r="F134" s="11" t="s">
        <v>14</v>
      </c>
      <c r="G134" s="12" t="s">
        <v>17</v>
      </c>
      <c r="H134" s="12">
        <v>2</v>
      </c>
      <c r="I134" s="12">
        <v>114</v>
      </c>
      <c r="J134" s="12">
        <v>1250</v>
      </c>
      <c r="K134" s="12" t="s">
        <v>15</v>
      </c>
      <c r="L134" s="12">
        <v>1100</v>
      </c>
      <c r="M134" s="11" t="s">
        <v>16</v>
      </c>
      <c r="N134" s="12" t="s">
        <v>17</v>
      </c>
      <c r="P134" s="11">
        <v>1840</v>
      </c>
      <c r="Q134" s="11">
        <v>2420</v>
      </c>
      <c r="R134" s="11" t="s">
        <v>18</v>
      </c>
      <c r="S134" s="11" t="s">
        <v>67</v>
      </c>
      <c r="T134" s="11">
        <v>2012</v>
      </c>
      <c r="U134" s="11" t="s">
        <v>20</v>
      </c>
    </row>
    <row r="135" spans="1:21" x14ac:dyDescent="0.25">
      <c r="A135" s="10" t="s">
        <v>301</v>
      </c>
      <c r="B135" s="11" t="s">
        <v>32</v>
      </c>
      <c r="C135" s="11" t="s">
        <v>32</v>
      </c>
      <c r="D135" t="s">
        <v>39</v>
      </c>
      <c r="E135" s="11" t="s">
        <v>20</v>
      </c>
      <c r="F135" s="11" t="s">
        <v>14</v>
      </c>
      <c r="G135" s="12" t="s">
        <v>17</v>
      </c>
      <c r="H135" s="12">
        <v>2</v>
      </c>
      <c r="I135" s="12">
        <v>114</v>
      </c>
      <c r="J135" s="12">
        <v>1100</v>
      </c>
      <c r="K135" s="12" t="s">
        <v>15</v>
      </c>
      <c r="L135" s="12">
        <v>1200</v>
      </c>
      <c r="M135" s="11" t="s">
        <v>16</v>
      </c>
      <c r="N135" s="12" t="s">
        <v>33</v>
      </c>
      <c r="P135" s="11">
        <v>1840</v>
      </c>
      <c r="Q135" s="11">
        <v>2420</v>
      </c>
      <c r="R135" s="11" t="s">
        <v>83</v>
      </c>
      <c r="S135" s="11" t="s">
        <v>67</v>
      </c>
      <c r="T135" s="11">
        <v>2012</v>
      </c>
      <c r="U135" s="11" t="s">
        <v>20</v>
      </c>
    </row>
    <row r="136" spans="1:21" x14ac:dyDescent="0.25">
      <c r="A136" s="10" t="s">
        <v>305</v>
      </c>
      <c r="B136" s="11" t="s">
        <v>32</v>
      </c>
      <c r="C136" s="11" t="s">
        <v>32</v>
      </c>
      <c r="D136" t="s">
        <v>48</v>
      </c>
      <c r="E136" s="11" t="s">
        <v>233</v>
      </c>
      <c r="F136" s="11" t="s">
        <v>175</v>
      </c>
      <c r="G136" s="12" t="s">
        <v>33</v>
      </c>
      <c r="H136" s="12">
        <v>2</v>
      </c>
      <c r="I136" s="12">
        <v>168</v>
      </c>
      <c r="J136" s="12">
        <v>1000</v>
      </c>
      <c r="K136" s="12" t="s">
        <v>15</v>
      </c>
      <c r="L136" s="12">
        <v>1500</v>
      </c>
      <c r="M136" s="11" t="s">
        <v>16</v>
      </c>
      <c r="N136" s="12" t="s">
        <v>33</v>
      </c>
      <c r="P136" s="11">
        <v>2165</v>
      </c>
      <c r="Q136" s="11">
        <v>3020</v>
      </c>
      <c r="S136" s="11" t="s">
        <v>35</v>
      </c>
      <c r="T136" s="11">
        <v>2008</v>
      </c>
      <c r="U136" s="11" t="s">
        <v>20</v>
      </c>
    </row>
    <row r="137" spans="1:21" x14ac:dyDescent="0.25">
      <c r="A137" s="10" t="s">
        <v>307</v>
      </c>
      <c r="B137" s="11" t="s">
        <v>24</v>
      </c>
      <c r="C137" s="11" t="s">
        <v>87</v>
      </c>
      <c r="D137" t="s">
        <v>12</v>
      </c>
      <c r="E137" s="11" t="s">
        <v>13</v>
      </c>
      <c r="F137" s="11" t="s">
        <v>175</v>
      </c>
      <c r="G137" s="12" t="s">
        <v>33</v>
      </c>
      <c r="H137" s="12">
        <v>1</v>
      </c>
      <c r="I137" s="12">
        <v>76</v>
      </c>
      <c r="J137" s="12" t="s">
        <v>13</v>
      </c>
      <c r="K137" s="12" t="s">
        <v>15</v>
      </c>
      <c r="L137" s="12">
        <v>1900</v>
      </c>
      <c r="M137" s="11" t="s">
        <v>16</v>
      </c>
      <c r="N137" s="12" t="s">
        <v>17</v>
      </c>
      <c r="P137" s="11">
        <v>750</v>
      </c>
      <c r="Q137" s="11">
        <v>750</v>
      </c>
      <c r="R137" s="11" t="s">
        <v>18</v>
      </c>
      <c r="S137" s="11" t="s">
        <v>19</v>
      </c>
      <c r="T137" s="11">
        <v>2006</v>
      </c>
      <c r="U137" s="11" t="s">
        <v>20</v>
      </c>
    </row>
    <row r="138" spans="1:21" x14ac:dyDescent="0.25">
      <c r="A138" s="10" t="s">
        <v>308</v>
      </c>
      <c r="B138" s="11" t="s">
        <v>287</v>
      </c>
      <c r="C138" s="11"/>
      <c r="D138" t="s">
        <v>36</v>
      </c>
      <c r="E138" s="11" t="s">
        <v>20</v>
      </c>
      <c r="F138" s="11" t="s">
        <v>288</v>
      </c>
      <c r="G138" s="12" t="s">
        <v>17</v>
      </c>
      <c r="H138" s="12" t="s">
        <v>20</v>
      </c>
      <c r="I138" s="12" t="s">
        <v>36</v>
      </c>
      <c r="J138" s="12" t="s">
        <v>13</v>
      </c>
      <c r="K138" s="12" t="s">
        <v>93</v>
      </c>
      <c r="L138" s="12">
        <v>100</v>
      </c>
      <c r="M138" s="11" t="s">
        <v>16</v>
      </c>
      <c r="N138" s="12" t="s">
        <v>33</v>
      </c>
      <c r="P138" s="11">
        <v>300</v>
      </c>
      <c r="Q138" s="11">
        <v>300</v>
      </c>
      <c r="R138" s="11" t="s">
        <v>34</v>
      </c>
      <c r="S138" s="11" t="s">
        <v>55</v>
      </c>
      <c r="T138" s="11" t="s">
        <v>55</v>
      </c>
      <c r="U138" s="11" t="s">
        <v>20</v>
      </c>
    </row>
    <row r="139" spans="1:21" x14ac:dyDescent="0.25">
      <c r="A139" s="10" t="s">
        <v>309</v>
      </c>
      <c r="B139" s="11" t="s">
        <v>287</v>
      </c>
      <c r="C139" s="11"/>
      <c r="D139" t="s">
        <v>36</v>
      </c>
      <c r="E139" s="11" t="s">
        <v>20</v>
      </c>
      <c r="F139" s="11" t="s">
        <v>288</v>
      </c>
      <c r="G139" s="12" t="s">
        <v>17</v>
      </c>
      <c r="H139" s="12" t="s">
        <v>20</v>
      </c>
      <c r="I139" s="12" t="s">
        <v>36</v>
      </c>
      <c r="J139" s="12" t="s">
        <v>13</v>
      </c>
      <c r="K139" s="12" t="s">
        <v>93</v>
      </c>
      <c r="L139" s="12">
        <v>100</v>
      </c>
      <c r="M139" s="11" t="s">
        <v>16</v>
      </c>
      <c r="N139" s="12" t="s">
        <v>33</v>
      </c>
      <c r="P139" s="11">
        <v>300</v>
      </c>
      <c r="Q139" s="11">
        <v>300</v>
      </c>
      <c r="S139" s="11" t="s">
        <v>55</v>
      </c>
      <c r="T139" s="11" t="s">
        <v>55</v>
      </c>
      <c r="U139" s="11" t="s">
        <v>20</v>
      </c>
    </row>
    <row r="140" spans="1:21" x14ac:dyDescent="0.25">
      <c r="A140" s="10" t="s">
        <v>311</v>
      </c>
      <c r="B140" s="11" t="s">
        <v>287</v>
      </c>
      <c r="C140" s="11" t="s">
        <v>38</v>
      </c>
      <c r="D140" t="s">
        <v>36</v>
      </c>
      <c r="E140" s="11" t="s">
        <v>20</v>
      </c>
      <c r="F140" s="11" t="s">
        <v>288</v>
      </c>
      <c r="H140" s="12">
        <v>0</v>
      </c>
      <c r="I140" s="12" t="s">
        <v>13</v>
      </c>
      <c r="J140" s="12" t="s">
        <v>13</v>
      </c>
      <c r="K140" s="12" t="s">
        <v>93</v>
      </c>
      <c r="L140" s="12">
        <v>100</v>
      </c>
      <c r="M140" s="11" t="s">
        <v>16</v>
      </c>
      <c r="N140" s="12" t="s">
        <v>33</v>
      </c>
      <c r="P140" s="11">
        <v>300</v>
      </c>
      <c r="Q140" s="11">
        <v>300</v>
      </c>
      <c r="R140" s="11" t="s">
        <v>34</v>
      </c>
      <c r="T140" s="11" t="s">
        <v>55</v>
      </c>
      <c r="U140" s="11" t="s">
        <v>20</v>
      </c>
    </row>
    <row r="141" spans="1:21" x14ac:dyDescent="0.25">
      <c r="A141" s="10" t="s">
        <v>312</v>
      </c>
      <c r="B141" s="11" t="s">
        <v>287</v>
      </c>
      <c r="C141" s="11"/>
      <c r="D141" t="s">
        <v>36</v>
      </c>
      <c r="E141" s="11" t="s">
        <v>20</v>
      </c>
      <c r="F141" s="11" t="s">
        <v>288</v>
      </c>
      <c r="G141" s="12" t="s">
        <v>17</v>
      </c>
      <c r="H141" s="12" t="s">
        <v>20</v>
      </c>
      <c r="I141" s="12" t="s">
        <v>36</v>
      </c>
      <c r="J141" s="12" t="s">
        <v>13</v>
      </c>
      <c r="K141" s="12" t="s">
        <v>93</v>
      </c>
      <c r="L141" s="12">
        <v>100</v>
      </c>
      <c r="M141" s="11" t="s">
        <v>16</v>
      </c>
      <c r="N141" s="12" t="s">
        <v>33</v>
      </c>
      <c r="P141" s="11">
        <v>300</v>
      </c>
      <c r="Q141" s="11">
        <v>300</v>
      </c>
      <c r="R141" s="11" t="s">
        <v>34</v>
      </c>
      <c r="S141" s="11" t="s">
        <v>55</v>
      </c>
      <c r="T141" s="11" t="s">
        <v>55</v>
      </c>
      <c r="U141" s="11" t="s">
        <v>20</v>
      </c>
    </row>
    <row r="142" spans="1:21" x14ac:dyDescent="0.25">
      <c r="A142" s="10" t="s">
        <v>313</v>
      </c>
      <c r="B142" s="11" t="s">
        <v>24</v>
      </c>
      <c r="C142" s="11" t="s">
        <v>87</v>
      </c>
      <c r="D142" t="s">
        <v>12</v>
      </c>
      <c r="E142" s="11" t="s">
        <v>13</v>
      </c>
      <c r="F142" s="11" t="s">
        <v>175</v>
      </c>
      <c r="G142" s="12" t="s">
        <v>33</v>
      </c>
      <c r="H142" s="12">
        <v>1</v>
      </c>
      <c r="I142" s="12">
        <v>76</v>
      </c>
      <c r="J142" s="12" t="s">
        <v>13</v>
      </c>
      <c r="K142" s="12" t="s">
        <v>15</v>
      </c>
      <c r="L142" s="12">
        <v>1800</v>
      </c>
      <c r="M142" s="11" t="s">
        <v>16</v>
      </c>
      <c r="N142" s="12" t="s">
        <v>33</v>
      </c>
      <c r="P142" s="11">
        <v>750</v>
      </c>
      <c r="Q142" s="11">
        <v>750</v>
      </c>
      <c r="R142" s="11" t="s">
        <v>18</v>
      </c>
      <c r="S142" s="11" t="s">
        <v>19</v>
      </c>
      <c r="T142" s="11">
        <v>2006</v>
      </c>
      <c r="U142" s="11" t="s">
        <v>20</v>
      </c>
    </row>
    <row r="143" spans="1:21" x14ac:dyDescent="0.25">
      <c r="A143" s="10" t="s">
        <v>314</v>
      </c>
      <c r="B143" s="11" t="s">
        <v>10</v>
      </c>
      <c r="C143" s="11" t="s">
        <v>11</v>
      </c>
      <c r="D143" t="s">
        <v>12</v>
      </c>
      <c r="E143" s="11" t="s">
        <v>13</v>
      </c>
      <c r="F143" s="11" t="s">
        <v>14</v>
      </c>
      <c r="G143" s="12" t="s">
        <v>17</v>
      </c>
      <c r="H143" s="12">
        <v>1</v>
      </c>
      <c r="I143" s="12">
        <v>76</v>
      </c>
      <c r="J143" s="12" t="s">
        <v>13</v>
      </c>
      <c r="K143" s="12" t="s">
        <v>15</v>
      </c>
      <c r="L143" s="12">
        <v>1900</v>
      </c>
      <c r="M143" s="11" t="s">
        <v>16</v>
      </c>
      <c r="N143" s="12" t="s">
        <v>17</v>
      </c>
      <c r="P143" s="11">
        <v>600</v>
      </c>
      <c r="Q143" s="11">
        <v>600</v>
      </c>
      <c r="R143" s="11" t="s">
        <v>18</v>
      </c>
      <c r="S143" s="11" t="s">
        <v>19</v>
      </c>
      <c r="T143" s="11">
        <v>2006</v>
      </c>
      <c r="U143" s="11" t="s">
        <v>20</v>
      </c>
    </row>
    <row r="144" spans="1:21" x14ac:dyDescent="0.25">
      <c r="A144" s="10" t="s">
        <v>315</v>
      </c>
      <c r="B144" s="11" t="s">
        <v>235</v>
      </c>
      <c r="C144" s="11" t="s">
        <v>235</v>
      </c>
      <c r="D144" t="s">
        <v>48</v>
      </c>
      <c r="E144" s="11" t="s">
        <v>233</v>
      </c>
      <c r="F144" s="11" t="s">
        <v>14</v>
      </c>
      <c r="G144" s="12" t="s">
        <v>17</v>
      </c>
      <c r="H144" s="12">
        <v>2</v>
      </c>
      <c r="I144" s="12">
        <v>168</v>
      </c>
      <c r="J144" s="12">
        <v>1100</v>
      </c>
      <c r="K144" s="12" t="s">
        <v>15</v>
      </c>
      <c r="L144" s="12">
        <v>1900</v>
      </c>
      <c r="M144" s="11" t="s">
        <v>16</v>
      </c>
      <c r="N144" s="12" t="s">
        <v>33</v>
      </c>
      <c r="P144" s="11">
        <v>1810</v>
      </c>
      <c r="Q144" s="11">
        <v>2840</v>
      </c>
      <c r="R144" s="11" t="s">
        <v>83</v>
      </c>
      <c r="S144" s="11" t="s">
        <v>67</v>
      </c>
      <c r="T144" s="11">
        <v>2012</v>
      </c>
      <c r="U144" s="11" t="s">
        <v>20</v>
      </c>
    </row>
    <row r="145" spans="1:21" x14ac:dyDescent="0.25">
      <c r="A145" s="10" t="s">
        <v>317</v>
      </c>
      <c r="B145" s="11" t="s">
        <v>235</v>
      </c>
      <c r="C145" s="11" t="s">
        <v>235</v>
      </c>
      <c r="D145" t="s">
        <v>39</v>
      </c>
      <c r="E145" s="11" t="s">
        <v>20</v>
      </c>
      <c r="F145" s="11" t="s">
        <v>14</v>
      </c>
      <c r="G145" s="12" t="s">
        <v>17</v>
      </c>
      <c r="H145" s="12">
        <v>2</v>
      </c>
      <c r="I145" s="12">
        <v>194</v>
      </c>
      <c r="J145" s="12">
        <v>1000</v>
      </c>
      <c r="K145" s="12" t="s">
        <v>15</v>
      </c>
      <c r="L145" s="12">
        <v>1600</v>
      </c>
      <c r="M145" s="11" t="s">
        <v>16</v>
      </c>
      <c r="N145" s="12" t="s">
        <v>17</v>
      </c>
      <c r="P145" s="11">
        <v>3260</v>
      </c>
      <c r="Q145" s="11">
        <v>4000</v>
      </c>
      <c r="R145" s="11" t="s">
        <v>18</v>
      </c>
      <c r="S145" s="11" t="s">
        <v>67</v>
      </c>
      <c r="T145" s="11">
        <v>2012</v>
      </c>
      <c r="U145" s="11" t="s">
        <v>20</v>
      </c>
    </row>
    <row r="146" spans="1:21" x14ac:dyDescent="0.25">
      <c r="A146" s="10" t="s">
        <v>319</v>
      </c>
      <c r="B146" s="11" t="s">
        <v>54</v>
      </c>
      <c r="C146" s="11" t="s">
        <v>70</v>
      </c>
      <c r="D146" t="s">
        <v>75</v>
      </c>
      <c r="E146" s="11" t="s">
        <v>20</v>
      </c>
      <c r="F146" s="11" t="s">
        <v>14</v>
      </c>
      <c r="G146" s="12" t="s">
        <v>17</v>
      </c>
      <c r="H146" s="12">
        <v>1</v>
      </c>
      <c r="I146" s="12">
        <v>114</v>
      </c>
      <c r="K146" s="12" t="s">
        <v>93</v>
      </c>
      <c r="L146" s="12">
        <v>2000</v>
      </c>
      <c r="M146" s="11" t="s">
        <v>16</v>
      </c>
      <c r="N146" s="12" t="s">
        <v>33</v>
      </c>
      <c r="P146" s="11">
        <v>1400</v>
      </c>
      <c r="Q146" s="11">
        <v>840</v>
      </c>
      <c r="R146" s="11" t="s">
        <v>34</v>
      </c>
      <c r="S146" s="11" t="s">
        <v>19</v>
      </c>
      <c r="T146" s="11">
        <v>2014</v>
      </c>
    </row>
    <row r="147" spans="1:21" x14ac:dyDescent="0.25">
      <c r="A147" s="10" t="s">
        <v>320</v>
      </c>
      <c r="B147" s="11" t="s">
        <v>54</v>
      </c>
      <c r="C147" s="11" t="s">
        <v>70</v>
      </c>
      <c r="D147" t="s">
        <v>75</v>
      </c>
      <c r="E147" s="11" t="s">
        <v>20</v>
      </c>
      <c r="F147" s="11" t="s">
        <v>14</v>
      </c>
      <c r="G147" s="12" t="s">
        <v>17</v>
      </c>
      <c r="H147" s="12">
        <v>1</v>
      </c>
      <c r="I147" s="12">
        <v>114</v>
      </c>
      <c r="K147" s="12" t="s">
        <v>93</v>
      </c>
      <c r="L147" s="12">
        <v>2100</v>
      </c>
      <c r="M147" s="11" t="s">
        <v>16</v>
      </c>
      <c r="N147" s="12" t="s">
        <v>33</v>
      </c>
      <c r="P147" s="11">
        <v>1250</v>
      </c>
      <c r="Q147" s="11">
        <v>600</v>
      </c>
      <c r="R147" s="11" t="s">
        <v>34</v>
      </c>
      <c r="S147" s="11" t="s">
        <v>19</v>
      </c>
      <c r="T147" s="11">
        <v>2014</v>
      </c>
    </row>
    <row r="148" spans="1:21" x14ac:dyDescent="0.25">
      <c r="A148" s="10" t="s">
        <v>321</v>
      </c>
      <c r="B148" s="11" t="s">
        <v>161</v>
      </c>
      <c r="C148" s="11" t="s">
        <v>38</v>
      </c>
      <c r="D148" t="s">
        <v>109</v>
      </c>
      <c r="E148" s="11" t="s">
        <v>20</v>
      </c>
      <c r="F148" s="11" t="s">
        <v>14</v>
      </c>
      <c r="G148" s="12" t="s">
        <v>17</v>
      </c>
      <c r="H148" s="12">
        <v>1</v>
      </c>
      <c r="I148" s="12">
        <v>76</v>
      </c>
      <c r="K148" s="12" t="s">
        <v>15</v>
      </c>
      <c r="L148" s="12">
        <v>1800</v>
      </c>
      <c r="M148" s="11" t="s">
        <v>16</v>
      </c>
      <c r="N148" s="12" t="s">
        <v>33</v>
      </c>
      <c r="P148" s="11">
        <v>350</v>
      </c>
      <c r="Q148" s="11">
        <v>350</v>
      </c>
      <c r="R148" s="11" t="s">
        <v>34</v>
      </c>
      <c r="S148" s="11" t="s">
        <v>19</v>
      </c>
      <c r="T148" s="11">
        <v>2015</v>
      </c>
    </row>
    <row r="149" spans="1:21" x14ac:dyDescent="0.25">
      <c r="A149" s="10" t="s">
        <v>323</v>
      </c>
      <c r="B149" s="11" t="s">
        <v>161</v>
      </c>
      <c r="C149" s="11" t="s">
        <v>38</v>
      </c>
      <c r="D149" t="s">
        <v>109</v>
      </c>
      <c r="E149" s="11" t="s">
        <v>20</v>
      </c>
      <c r="F149" s="11" t="s">
        <v>14</v>
      </c>
      <c r="G149" s="12" t="s">
        <v>17</v>
      </c>
      <c r="H149" s="12">
        <v>1</v>
      </c>
      <c r="I149" s="12">
        <v>76</v>
      </c>
      <c r="K149" s="12" t="s">
        <v>63</v>
      </c>
      <c r="L149" s="12">
        <v>1700</v>
      </c>
      <c r="M149" s="11" t="s">
        <v>16</v>
      </c>
      <c r="N149" s="12" t="s">
        <v>33</v>
      </c>
      <c r="P149" s="11">
        <v>510</v>
      </c>
      <c r="Q149" s="11">
        <v>300</v>
      </c>
      <c r="R149" s="11" t="s">
        <v>34</v>
      </c>
      <c r="S149" s="11" t="s">
        <v>19</v>
      </c>
      <c r="T149" s="11">
        <v>2015</v>
      </c>
    </row>
    <row r="150" spans="1:21" x14ac:dyDescent="0.25">
      <c r="A150" s="10" t="s">
        <v>325</v>
      </c>
      <c r="B150" s="11" t="s">
        <v>24</v>
      </c>
      <c r="C150" s="11"/>
      <c r="D150" t="s">
        <v>109</v>
      </c>
      <c r="E150" s="11" t="s">
        <v>20</v>
      </c>
      <c r="F150" s="11" t="s">
        <v>14</v>
      </c>
      <c r="G150" s="12" t="s">
        <v>17</v>
      </c>
      <c r="H150" s="12">
        <v>1</v>
      </c>
      <c r="I150" s="12">
        <v>76</v>
      </c>
      <c r="K150" s="12" t="s">
        <v>90</v>
      </c>
      <c r="L150" s="12">
        <v>1800</v>
      </c>
      <c r="M150" s="11" t="s">
        <v>16</v>
      </c>
      <c r="N150" s="12" t="s">
        <v>33</v>
      </c>
      <c r="P150" s="11">
        <v>510</v>
      </c>
      <c r="Q150" s="11">
        <v>300</v>
      </c>
      <c r="R150" s="11" t="s">
        <v>34</v>
      </c>
      <c r="S150" s="11" t="s">
        <v>19</v>
      </c>
      <c r="T150" s="11">
        <v>2015</v>
      </c>
    </row>
    <row r="151" spans="1:21" x14ac:dyDescent="0.25">
      <c r="A151" s="10" t="s">
        <v>327</v>
      </c>
      <c r="B151" s="11" t="s">
        <v>161</v>
      </c>
      <c r="C151" s="11" t="s">
        <v>38</v>
      </c>
      <c r="D151" t="s">
        <v>109</v>
      </c>
      <c r="E151" s="11" t="s">
        <v>20</v>
      </c>
      <c r="F151" s="11" t="s">
        <v>14</v>
      </c>
      <c r="G151" s="12" t="s">
        <v>17</v>
      </c>
      <c r="H151" s="12">
        <v>1</v>
      </c>
      <c r="I151" s="12">
        <v>76</v>
      </c>
      <c r="K151" s="12" t="s">
        <v>90</v>
      </c>
      <c r="L151" s="12">
        <v>1800</v>
      </c>
      <c r="M151" s="11" t="s">
        <v>16</v>
      </c>
      <c r="N151" s="12" t="s">
        <v>33</v>
      </c>
      <c r="P151" s="11">
        <v>510</v>
      </c>
      <c r="Q151" s="11">
        <v>300</v>
      </c>
      <c r="R151" s="11" t="s">
        <v>34</v>
      </c>
      <c r="S151" s="11" t="s">
        <v>19</v>
      </c>
      <c r="T151" s="11">
        <v>2015</v>
      </c>
    </row>
    <row r="152" spans="1:21" x14ac:dyDescent="0.25">
      <c r="A152" s="10" t="s">
        <v>328</v>
      </c>
      <c r="B152" s="11" t="s">
        <v>161</v>
      </c>
      <c r="C152" s="11" t="s">
        <v>38</v>
      </c>
      <c r="D152" t="s">
        <v>109</v>
      </c>
      <c r="E152" s="11" t="s">
        <v>20</v>
      </c>
      <c r="F152" s="11" t="s">
        <v>175</v>
      </c>
      <c r="G152" s="12" t="s">
        <v>17</v>
      </c>
      <c r="H152" s="12">
        <v>1</v>
      </c>
      <c r="I152" s="12">
        <v>76</v>
      </c>
      <c r="K152" s="12" t="s">
        <v>93</v>
      </c>
      <c r="L152" s="12">
        <v>1800</v>
      </c>
      <c r="M152" s="11" t="s">
        <v>16</v>
      </c>
      <c r="N152" s="12" t="s">
        <v>33</v>
      </c>
      <c r="P152" s="11">
        <v>510</v>
      </c>
      <c r="Q152" s="11">
        <v>300</v>
      </c>
      <c r="R152" s="11" t="s">
        <v>34</v>
      </c>
      <c r="S152" s="11" t="s">
        <v>19</v>
      </c>
      <c r="T152" s="11">
        <v>2015</v>
      </c>
    </row>
    <row r="153" spans="1:21" x14ac:dyDescent="0.25">
      <c r="A153" s="10" t="s">
        <v>329</v>
      </c>
      <c r="B153" s="11" t="s">
        <v>287</v>
      </c>
      <c r="C153" s="11" t="s">
        <v>38</v>
      </c>
      <c r="D153" t="s">
        <v>109</v>
      </c>
      <c r="E153" s="11" t="s">
        <v>20</v>
      </c>
      <c r="F153" s="11" t="s">
        <v>288</v>
      </c>
      <c r="G153" s="12" t="s">
        <v>17</v>
      </c>
      <c r="H153" s="12" t="s">
        <v>20</v>
      </c>
      <c r="I153" s="12" t="s">
        <v>36</v>
      </c>
      <c r="K153" s="12" t="s">
        <v>93</v>
      </c>
      <c r="L153" s="12">
        <v>150</v>
      </c>
      <c r="M153" s="11" t="s">
        <v>16</v>
      </c>
      <c r="N153" s="12" t="s">
        <v>33</v>
      </c>
      <c r="P153" s="11">
        <v>270</v>
      </c>
      <c r="Q153" s="11">
        <v>270</v>
      </c>
      <c r="R153" s="11" t="s">
        <v>34</v>
      </c>
      <c r="S153" s="11" t="s">
        <v>55</v>
      </c>
      <c r="T153" s="11" t="s">
        <v>55</v>
      </c>
    </row>
    <row r="154" spans="1:21" x14ac:dyDescent="0.25">
      <c r="A154" s="10" t="s">
        <v>330</v>
      </c>
      <c r="B154" s="11" t="s">
        <v>24</v>
      </c>
      <c r="C154" s="11" t="s">
        <v>283</v>
      </c>
      <c r="D154" t="s">
        <v>109</v>
      </c>
      <c r="E154" s="11" t="s">
        <v>20</v>
      </c>
      <c r="F154" s="11" t="s">
        <v>175</v>
      </c>
      <c r="G154" s="12" t="s">
        <v>0</v>
      </c>
      <c r="H154" s="12">
        <v>1</v>
      </c>
      <c r="I154" s="12">
        <v>76</v>
      </c>
      <c r="K154" s="12" t="s">
        <v>93</v>
      </c>
      <c r="L154" s="12">
        <v>1300</v>
      </c>
      <c r="M154" s="11" t="s">
        <v>16</v>
      </c>
      <c r="N154" s="12" t="s">
        <v>33</v>
      </c>
      <c r="P154" s="11">
        <v>600</v>
      </c>
      <c r="Q154" s="11">
        <v>600</v>
      </c>
      <c r="R154" s="11" t="s">
        <v>34</v>
      </c>
      <c r="S154" s="11" t="s">
        <v>19</v>
      </c>
      <c r="T154" s="11">
        <v>2015</v>
      </c>
    </row>
    <row r="155" spans="1:21" x14ac:dyDescent="0.25">
      <c r="A155" s="10"/>
      <c r="B155" s="11"/>
      <c r="C155" s="11"/>
      <c r="D155"/>
    </row>
    <row r="156" spans="1:21" x14ac:dyDescent="0.25">
      <c r="A156" s="10"/>
    </row>
    <row r="157" spans="1:21" x14ac:dyDescent="0.25">
      <c r="A157" s="10"/>
    </row>
    <row r="158" spans="1:21" x14ac:dyDescent="0.25">
      <c r="A158" s="10"/>
    </row>
  </sheetData>
  <autoFilter ref="A1:U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54"/>
  <sheetViews>
    <sheetView tabSelected="1" zoomScale="80" zoomScaleNormal="80" workbookViewId="0">
      <selection activeCell="D23" sqref="D23"/>
    </sheetView>
  </sheetViews>
  <sheetFormatPr defaultRowHeight="15" x14ac:dyDescent="0.25"/>
  <cols>
    <col min="1" max="1" width="18.140625" style="11" customWidth="1"/>
    <col min="2" max="2" width="11.5703125" style="11" customWidth="1"/>
    <col min="3" max="3" width="16" style="12" customWidth="1"/>
    <col min="4" max="4" width="12.85546875" style="12" customWidth="1"/>
    <col min="5" max="5" width="20.140625" style="11" bestFit="1" customWidth="1"/>
    <col min="6" max="6" width="9.140625" style="12"/>
    <col min="7" max="7" width="12.42578125" style="11" customWidth="1"/>
    <col min="8" max="8" width="9.140625" style="11"/>
    <col min="9" max="9" width="30.140625" style="11" customWidth="1"/>
    <col min="10" max="10" width="30.42578125" style="11" customWidth="1"/>
    <col min="11" max="11" width="29.85546875" style="11" customWidth="1"/>
    <col min="12" max="12" width="20.28515625" style="11" customWidth="1"/>
    <col min="13" max="14" width="9.140625" style="11"/>
    <col min="15" max="15" width="17.42578125" style="11" customWidth="1"/>
    <col min="16" max="16" width="14.5703125" style="11" customWidth="1"/>
    <col min="17" max="17" width="19.140625" style="11" customWidth="1"/>
    <col min="18" max="18" width="9.140625" style="11"/>
    <col min="19" max="19" width="10.5703125" style="11" customWidth="1"/>
    <col min="20" max="20" width="10.42578125" style="11" customWidth="1"/>
    <col min="21" max="16384" width="9.140625" style="11"/>
  </cols>
  <sheetData>
    <row r="1" spans="1:20" s="19" customFormat="1" ht="45" x14ac:dyDescent="0.25">
      <c r="A1" s="13" t="s">
        <v>362</v>
      </c>
      <c r="B1" s="14" t="s">
        <v>363</v>
      </c>
      <c r="C1" s="15" t="s">
        <v>364</v>
      </c>
      <c r="D1" s="13" t="s">
        <v>365</v>
      </c>
      <c r="E1" s="15" t="s">
        <v>366</v>
      </c>
      <c r="F1" s="15" t="s">
        <v>367</v>
      </c>
      <c r="G1" s="15" t="s">
        <v>368</v>
      </c>
      <c r="H1" s="15" t="s">
        <v>369</v>
      </c>
      <c r="I1" s="13" t="s">
        <v>370</v>
      </c>
      <c r="J1" s="13" t="s">
        <v>371</v>
      </c>
      <c r="K1" s="13" t="s">
        <v>372</v>
      </c>
      <c r="L1" s="13" t="s">
        <v>372</v>
      </c>
      <c r="M1" s="16" t="s">
        <v>373</v>
      </c>
      <c r="N1" s="17" t="s">
        <v>374</v>
      </c>
      <c r="O1" s="17" t="s">
        <v>375</v>
      </c>
      <c r="P1" s="17" t="s">
        <v>376</v>
      </c>
      <c r="Q1" s="17" t="s">
        <v>377</v>
      </c>
      <c r="R1" s="17" t="s">
        <v>4</v>
      </c>
      <c r="S1" s="17" t="s">
        <v>378</v>
      </c>
      <c r="T1" s="18" t="s">
        <v>379</v>
      </c>
    </row>
    <row r="2" spans="1:20" x14ac:dyDescent="0.25">
      <c r="A2" s="11" t="s">
        <v>7</v>
      </c>
      <c r="C2" s="12" t="s">
        <v>381</v>
      </c>
      <c r="D2" s="12">
        <v>2</v>
      </c>
      <c r="E2" s="4">
        <v>42276.502083333333</v>
      </c>
      <c r="F2" s="12" t="s">
        <v>380</v>
      </c>
      <c r="G2" s="11" t="s">
        <v>21</v>
      </c>
      <c r="I2" s="11" t="str">
        <f>HYPERLINK("RMS Survey MB-2-Sign_Photo.JPG","RMS Survey MB-2-Sign_Photo")</f>
        <v>RMS Survey MB-2-Sign_Photo</v>
      </c>
      <c r="J2" s="11" t="str">
        <f>HYPERLINK("RMS Survey MB-2-Location_Photo.JPG","RMS Survey MB-2-Location_Photo")</f>
        <v>RMS Survey MB-2-Location_Photo</v>
      </c>
      <c r="L2" s="11" t="s">
        <v>20</v>
      </c>
      <c r="M2" s="11" t="s">
        <v>20</v>
      </c>
    </row>
    <row r="3" spans="1:20" x14ac:dyDescent="0.25">
      <c r="A3" s="11" t="s">
        <v>22</v>
      </c>
      <c r="C3" s="12" t="s">
        <v>382</v>
      </c>
      <c r="D3" s="12" t="s">
        <v>20</v>
      </c>
      <c r="E3" s="4">
        <v>42276.504166666666</v>
      </c>
      <c r="F3" s="12" t="s">
        <v>380</v>
      </c>
      <c r="G3" s="11" t="s">
        <v>21</v>
      </c>
      <c r="I3" s="11" t="str">
        <f>HYPERLINK("RMS Survey MB-3-Sign_Photo.JPG","RMS Survey MB-3-Sign_Photo")</f>
        <v>RMS Survey MB-3-Sign_Photo</v>
      </c>
      <c r="J3" s="11" t="str">
        <f>HYPERLINK("RMS Survey MB-3-Location_Photo.JPG","RMS Survey MB-3-Location_Photo")</f>
        <v>RMS Survey MB-3-Location_Photo</v>
      </c>
      <c r="K3" s="11" t="s">
        <v>20</v>
      </c>
      <c r="L3" s="11" t="s">
        <v>20</v>
      </c>
      <c r="M3" s="11" t="s">
        <v>20</v>
      </c>
    </row>
    <row r="4" spans="1:20" x14ac:dyDescent="0.25">
      <c r="A4" s="11" t="s">
        <v>27</v>
      </c>
      <c r="C4" s="12" t="s">
        <v>383</v>
      </c>
      <c r="D4" s="12" t="s">
        <v>20</v>
      </c>
      <c r="E4" s="4">
        <v>42276.506944444445</v>
      </c>
      <c r="F4" s="12" t="s">
        <v>380</v>
      </c>
      <c r="G4" s="11" t="s">
        <v>21</v>
      </c>
      <c r="I4" s="11" t="str">
        <f>HYPERLINK("RMS Survey MB-4-Sign_Photo.JPG","RMS Survey MB-4-Sign_Photo")</f>
        <v>RMS Survey MB-4-Sign_Photo</v>
      </c>
      <c r="J4" s="11" t="str">
        <f>HYPERLINK("RMS Survey MB-4-Location_Photo.JPG","RMS Survey MB-4-Location_Photo")</f>
        <v>RMS Survey MB-4-Location_Photo</v>
      </c>
      <c r="K4" s="11" t="s">
        <v>20</v>
      </c>
      <c r="L4" s="11" t="s">
        <v>20</v>
      </c>
      <c r="M4" s="11" t="s">
        <v>20</v>
      </c>
    </row>
    <row r="5" spans="1:20" x14ac:dyDescent="0.25">
      <c r="A5" s="11" t="s">
        <v>30</v>
      </c>
      <c r="C5" s="12" t="s">
        <v>384</v>
      </c>
      <c r="D5" s="12">
        <v>3</v>
      </c>
      <c r="E5" s="4">
        <v>42276.509722222225</v>
      </c>
      <c r="F5" s="12" t="s">
        <v>380</v>
      </c>
      <c r="G5" s="11" t="s">
        <v>21</v>
      </c>
      <c r="I5" s="11" t="str">
        <f>HYPERLINK("RMS Survey MB-5-Sign_Photo.JPG","RMS Survey MB-5-Sign_Photo")</f>
        <v>RMS Survey MB-5-Sign_Photo</v>
      </c>
      <c r="J5" s="11" t="str">
        <f>HYPERLINK("RMS Survey MB-5-Location_Photo.JPG","RMS Survey MB-5-Location_Photo")</f>
        <v>RMS Survey MB-5-Location_Photo</v>
      </c>
      <c r="K5" s="11" t="s">
        <v>36</v>
      </c>
      <c r="L5" s="11" t="s">
        <v>20</v>
      </c>
      <c r="M5" s="11" t="s">
        <v>33</v>
      </c>
    </row>
    <row r="6" spans="1:20" x14ac:dyDescent="0.25">
      <c r="A6" s="11" t="s">
        <v>37</v>
      </c>
      <c r="C6" s="12" t="s">
        <v>385</v>
      </c>
      <c r="D6" s="12">
        <v>3</v>
      </c>
      <c r="E6" s="4">
        <v>42276.515277777777</v>
      </c>
      <c r="F6" s="12" t="s">
        <v>380</v>
      </c>
      <c r="G6" s="11" t="s">
        <v>21</v>
      </c>
      <c r="I6" s="11" t="str">
        <f>HYPERLINK("RMS Survey MB-6-Sign_Photo.JPG","RMS Survey MB-6-Sign_Photo")</f>
        <v>RMS Survey MB-6-Sign_Photo</v>
      </c>
      <c r="J6" s="11" t="str">
        <f>HYPERLINK("RMS Survey MB-6-Location_Photo.JPG","RMS Survey MB-6-Location_Photo")</f>
        <v>RMS Survey MB-6-Location_Photo</v>
      </c>
      <c r="K6" s="11" t="s">
        <v>36</v>
      </c>
      <c r="L6" s="11" t="s">
        <v>40</v>
      </c>
      <c r="M6" s="11" t="s">
        <v>33</v>
      </c>
    </row>
    <row r="7" spans="1:20" x14ac:dyDescent="0.25">
      <c r="A7" s="11" t="s">
        <v>41</v>
      </c>
      <c r="C7" s="12" t="s">
        <v>386</v>
      </c>
      <c r="D7" s="12" t="s">
        <v>20</v>
      </c>
      <c r="E7" s="4">
        <v>42276.5625</v>
      </c>
      <c r="F7" s="12" t="s">
        <v>380</v>
      </c>
      <c r="G7" s="11" t="s">
        <v>21</v>
      </c>
      <c r="I7" s="11" t="str">
        <f>HYPERLINK("RMS Survey MB-7-Sign_Photo.JPG","RMS Survey MB-7-Sign_Photo")</f>
        <v>RMS Survey MB-7-Sign_Photo</v>
      </c>
      <c r="J7" s="11" t="str">
        <f>HYPERLINK("RMS Survey MB-7-Location_Photo.JPG","RMS Survey MB-7-Location_Photo")</f>
        <v>RMS Survey MB-7-Location_Photo</v>
      </c>
      <c r="K7" s="11" t="s">
        <v>20</v>
      </c>
      <c r="L7" s="11" t="s">
        <v>20</v>
      </c>
      <c r="M7" s="11" t="s">
        <v>20</v>
      </c>
    </row>
    <row r="8" spans="1:20" x14ac:dyDescent="0.25">
      <c r="A8" s="11" t="s">
        <v>44</v>
      </c>
      <c r="C8" s="12" t="s">
        <v>387</v>
      </c>
      <c r="D8" s="12" t="s">
        <v>20</v>
      </c>
      <c r="E8" s="4">
        <v>42276.563888888886</v>
      </c>
      <c r="F8" s="12" t="s">
        <v>380</v>
      </c>
      <c r="G8" s="11" t="s">
        <v>21</v>
      </c>
      <c r="I8" s="11" t="str">
        <f>HYPERLINK("RMS Survey MB-8-Sign_Photo.JPG","RMS Survey MB-8-Sign_Photo")</f>
        <v>RMS Survey MB-8-Sign_Photo</v>
      </c>
      <c r="J8" s="11" t="str">
        <f>HYPERLINK("RMS Survey MB-8-Location_Photo.JPG","RMS Survey MB-8-Location_Photo")</f>
        <v>RMS Survey MB-8-Location_Photo</v>
      </c>
      <c r="K8" s="11" t="s">
        <v>20</v>
      </c>
      <c r="L8" s="11" t="s">
        <v>20</v>
      </c>
      <c r="M8" s="11" t="s">
        <v>20</v>
      </c>
    </row>
    <row r="9" spans="1:20" x14ac:dyDescent="0.25">
      <c r="A9" s="11" t="s">
        <v>45</v>
      </c>
      <c r="C9" s="12" t="s">
        <v>388</v>
      </c>
      <c r="D9" s="12">
        <v>0</v>
      </c>
      <c r="E9" s="4">
        <v>42276.520138888889</v>
      </c>
      <c r="F9" s="12" t="s">
        <v>380</v>
      </c>
      <c r="G9" s="11" t="s">
        <v>21</v>
      </c>
      <c r="I9" s="11" t="str">
        <f>HYPERLINK("RMS Survey MB-9-Sign_Photo.JPG","RMS Survey MB-9-Sign_Photo")</f>
        <v>RMS Survey MB-9-Sign_Photo</v>
      </c>
      <c r="J9" s="11" t="str">
        <f>HYPERLINK("RMS Survey MB-9-Location_Photo.JPG","RMS Survey MB-9-Location_Photo")</f>
        <v>RMS Survey MB-9-Location_Photo</v>
      </c>
      <c r="K9" s="11" t="s">
        <v>51</v>
      </c>
      <c r="L9" s="11" t="s">
        <v>20</v>
      </c>
      <c r="M9" s="11" t="s">
        <v>33</v>
      </c>
    </row>
    <row r="10" spans="1:20" x14ac:dyDescent="0.25">
      <c r="A10" s="11" t="s">
        <v>52</v>
      </c>
      <c r="C10" s="12" t="s">
        <v>389</v>
      </c>
      <c r="D10" s="12">
        <v>0</v>
      </c>
      <c r="E10" s="4">
        <v>42276.565972222219</v>
      </c>
      <c r="F10" s="12" t="s">
        <v>380</v>
      </c>
      <c r="G10" s="11" t="s">
        <v>21</v>
      </c>
      <c r="I10" s="11" t="str">
        <f>HYPERLINK("RMS Survey MB-10-Sign_Photo.JPG","RMS Survey MB-10-Sign_Photo")</f>
        <v>RMS Survey MB-10-Sign_Photo</v>
      </c>
      <c r="J10" s="11" t="str">
        <f>HYPERLINK("RMS Survey MB-10-Location_Photo.JPG","RMS Survey MB-10-Location_Photo")</f>
        <v>RMS Survey MB-10-Location_Photo</v>
      </c>
      <c r="K10" s="11" t="s">
        <v>51</v>
      </c>
      <c r="L10" s="11" t="s">
        <v>20</v>
      </c>
      <c r="M10" s="11" t="s">
        <v>20</v>
      </c>
    </row>
    <row r="11" spans="1:20" x14ac:dyDescent="0.25">
      <c r="A11" s="11" t="s">
        <v>56</v>
      </c>
      <c r="C11" s="12" t="s">
        <v>390</v>
      </c>
      <c r="D11" s="12">
        <v>3</v>
      </c>
      <c r="E11" s="4">
        <v>42276.568749999999</v>
      </c>
      <c r="F11" s="12" t="s">
        <v>380</v>
      </c>
      <c r="G11" s="11" t="s">
        <v>21</v>
      </c>
      <c r="I11" s="11" t="str">
        <f>HYPERLINK("RMS Survey MB-11-Sign_Photo.JPG","RMS Survey MB-11-Sign_Photo")</f>
        <v>RMS Survey MB-11-Sign_Photo</v>
      </c>
      <c r="J11" s="11" t="str">
        <f>HYPERLINK("RMS Survey MB-11-Location_Photo.JPG","RMS Survey MB-11-Location_Photo")</f>
        <v>RMS Survey MB-11-Location_Photo</v>
      </c>
      <c r="K11" s="11" t="s">
        <v>20</v>
      </c>
      <c r="L11" s="11" t="s">
        <v>20</v>
      </c>
      <c r="M11" s="11" t="s">
        <v>20</v>
      </c>
    </row>
    <row r="12" spans="1:20" x14ac:dyDescent="0.25">
      <c r="A12" s="11" t="s">
        <v>59</v>
      </c>
      <c r="C12" s="12" t="s">
        <v>391</v>
      </c>
      <c r="D12" s="12" t="s">
        <v>20</v>
      </c>
      <c r="E12" s="4">
        <v>42276.570833333331</v>
      </c>
      <c r="F12" s="12" t="s">
        <v>380</v>
      </c>
      <c r="G12" s="11" t="s">
        <v>21</v>
      </c>
      <c r="I12" s="11" t="str">
        <f>HYPERLINK("RMS Survey MB-12-Sign_Photo.JPG","RMS Survey MB-12-Sign_Photo")</f>
        <v>RMS Survey MB-12-Sign_Photo</v>
      </c>
      <c r="J12" s="11" t="str">
        <f>HYPERLINK("RMS Survey MB-12-Location_Photo.JPG","RMS Survey MB-12-Location_Photo")</f>
        <v>RMS Survey MB-12-Location_Photo</v>
      </c>
      <c r="K12" s="11" t="s">
        <v>20</v>
      </c>
      <c r="L12" s="11" t="s">
        <v>20</v>
      </c>
      <c r="M12" s="11" t="s">
        <v>20</v>
      </c>
    </row>
    <row r="13" spans="1:20" x14ac:dyDescent="0.25">
      <c r="A13" s="11" t="s">
        <v>61</v>
      </c>
      <c r="C13" s="12" t="s">
        <v>392</v>
      </c>
      <c r="D13" s="12">
        <v>2</v>
      </c>
      <c r="E13" s="4">
        <v>42276.572916666664</v>
      </c>
      <c r="F13" s="12" t="s">
        <v>380</v>
      </c>
      <c r="G13" s="11" t="s">
        <v>21</v>
      </c>
      <c r="I13" s="11" t="str">
        <f>HYPERLINK("RMS Survey MB-13-Sign_Photo.JPG","RMS Survey MB-13-Sign_Photo")</f>
        <v>RMS Survey MB-13-Sign_Photo</v>
      </c>
      <c r="J13" s="11" t="str">
        <f>HYPERLINK("RMS Survey MB-13-Location_Photo.JPG","RMS Survey MB-13-Location_Photo")</f>
        <v>RMS Survey MB-13-Location_Photo</v>
      </c>
      <c r="K13" s="11" t="s">
        <v>65</v>
      </c>
      <c r="L13" s="11" t="s">
        <v>20</v>
      </c>
      <c r="M13" s="11" t="s">
        <v>20</v>
      </c>
    </row>
    <row r="14" spans="1:20" x14ac:dyDescent="0.25">
      <c r="A14" s="11" t="s">
        <v>66</v>
      </c>
      <c r="C14" s="12" t="s">
        <v>393</v>
      </c>
      <c r="E14" s="4">
        <v>42276.575694444444</v>
      </c>
      <c r="F14" s="12" t="s">
        <v>380</v>
      </c>
      <c r="G14" s="11" t="s">
        <v>21</v>
      </c>
      <c r="I14" s="11" t="str">
        <f>HYPERLINK("RMS Survey MB-14-Sign_Photo.JPG","RMS Survey MB-14-Sign_Photo")</f>
        <v>RMS Survey MB-14-Sign_Photo</v>
      </c>
      <c r="J14" s="11" t="str">
        <f>HYPERLINK("RMS Survey MB-14-Location_Photo.JPG","RMS Survey MB-14-Location_Photo")</f>
        <v>RMS Survey MB-14-Location_Photo</v>
      </c>
      <c r="K14" s="11" t="s">
        <v>20</v>
      </c>
      <c r="L14" s="11" t="s">
        <v>20</v>
      </c>
      <c r="M14" s="11" t="s">
        <v>20</v>
      </c>
    </row>
    <row r="15" spans="1:20" x14ac:dyDescent="0.25">
      <c r="A15" s="11" t="s">
        <v>68</v>
      </c>
      <c r="C15" s="12" t="s">
        <v>394</v>
      </c>
      <c r="D15" s="12">
        <v>0</v>
      </c>
      <c r="E15" s="4">
        <v>42276.583333333336</v>
      </c>
      <c r="F15" s="12" t="s">
        <v>380</v>
      </c>
      <c r="G15" s="11" t="s">
        <v>21</v>
      </c>
      <c r="I15" s="11" t="str">
        <f>HYPERLINK("RMS Survey MB-15-Sign_Photo.JPG","RMS Survey MB-15-Sign_Photo")</f>
        <v>RMS Survey MB-15-Sign_Photo</v>
      </c>
      <c r="J15" s="11" t="str">
        <f>HYPERLINK("RMS Survey MB-15-Location_Photo.JPG","RMS Survey MB-15-Location_Photo")</f>
        <v>RMS Survey MB-15-Location_Photo</v>
      </c>
      <c r="K15" s="11" t="s">
        <v>51</v>
      </c>
      <c r="L15" s="11" t="s">
        <v>20</v>
      </c>
      <c r="M15" s="11" t="s">
        <v>33</v>
      </c>
    </row>
    <row r="16" spans="1:20" x14ac:dyDescent="0.25">
      <c r="A16" s="11" t="s">
        <v>71</v>
      </c>
      <c r="C16" s="12" t="s">
        <v>395</v>
      </c>
      <c r="E16" s="4">
        <v>42276.586805555555</v>
      </c>
      <c r="F16" s="12" t="s">
        <v>380</v>
      </c>
      <c r="G16" s="11" t="s">
        <v>21</v>
      </c>
      <c r="I16" s="11" t="str">
        <f>HYPERLINK("RMS Survey MB-16-Sign_Photo.JPG","RMS Survey MB-16-Sign_Photo")</f>
        <v>RMS Survey MB-16-Sign_Photo</v>
      </c>
      <c r="J16" s="11" t="str">
        <f>HYPERLINK("RMS Survey MB-16-Location_Photo.JPG","RMS Survey MB-16-Location_Photo")</f>
        <v>RMS Survey MB-16-Location_Photo</v>
      </c>
      <c r="K16" s="11" t="s">
        <v>20</v>
      </c>
      <c r="L16" s="11" t="s">
        <v>20</v>
      </c>
      <c r="M16" s="11" t="s">
        <v>20</v>
      </c>
    </row>
    <row r="17" spans="1:13" x14ac:dyDescent="0.25">
      <c r="A17" s="11" t="s">
        <v>76</v>
      </c>
      <c r="C17" s="12" t="s">
        <v>396</v>
      </c>
      <c r="D17" s="12">
        <v>0</v>
      </c>
      <c r="E17" s="4">
        <v>42276.589583333334</v>
      </c>
      <c r="F17" s="12" t="s">
        <v>380</v>
      </c>
      <c r="G17" s="11" t="s">
        <v>21</v>
      </c>
      <c r="I17" s="11" t="str">
        <f>HYPERLINK("RMS Survey MB-17-Sign_Photo.JPG","RMS Survey MB-17-Sign_Photo")</f>
        <v>RMS Survey MB-17-Sign_Photo</v>
      </c>
      <c r="J17" s="11" t="str">
        <f>HYPERLINK("RMS Survey MB-17-Location_Photo.JPG","RMS Survey MB-17-Location_Photo")</f>
        <v>RMS Survey MB-17-Location_Photo</v>
      </c>
      <c r="K17" s="11" t="s">
        <v>51</v>
      </c>
      <c r="L17" s="11" t="s">
        <v>20</v>
      </c>
      <c r="M17" s="11" t="s">
        <v>20</v>
      </c>
    </row>
    <row r="18" spans="1:13" x14ac:dyDescent="0.25">
      <c r="A18" s="11" t="s">
        <v>78</v>
      </c>
      <c r="C18" s="12" t="s">
        <v>397</v>
      </c>
      <c r="D18" s="12">
        <v>0</v>
      </c>
      <c r="E18" s="4">
        <v>42276.595833333333</v>
      </c>
      <c r="F18" s="12" t="s">
        <v>380</v>
      </c>
      <c r="G18" s="11" t="s">
        <v>21</v>
      </c>
      <c r="I18" s="11" t="str">
        <f>HYPERLINK("RMS Survey MB-18-Sign_Photo.JPG","RMS Survey MB-18-Sign_Photo")</f>
        <v>RMS Survey MB-18-Sign_Photo</v>
      </c>
      <c r="J18" s="11" t="str">
        <f>HYPERLINK("RMS Survey MB-18-Location_Photo.JPG","RMS Survey MB-18-Location_Photo")</f>
        <v>RMS Survey MB-18-Location_Photo</v>
      </c>
      <c r="K18" s="11" t="s">
        <v>51</v>
      </c>
      <c r="L18" s="11" t="s">
        <v>20</v>
      </c>
      <c r="M18" s="11" t="s">
        <v>20</v>
      </c>
    </row>
    <row r="19" spans="1:13" x14ac:dyDescent="0.25">
      <c r="A19" s="11" t="s">
        <v>80</v>
      </c>
      <c r="C19" s="12" t="s">
        <v>398</v>
      </c>
      <c r="E19" s="4">
        <v>42276.597222222219</v>
      </c>
      <c r="F19" s="12" t="s">
        <v>380</v>
      </c>
      <c r="G19" s="11" t="s">
        <v>21</v>
      </c>
      <c r="I19" s="11" t="str">
        <f>HYPERLINK("RMS Survey MB-19-Sign_Photo.JPG","RMS Survey MB-19-Sign_Photo")</f>
        <v>RMS Survey MB-19-Sign_Photo</v>
      </c>
      <c r="J19" s="11" t="str">
        <f>HYPERLINK("RMS Survey MB-19-Location_Photo.JPG","RMS Survey MB-19-Location_Photo")</f>
        <v>RMS Survey MB-19-Location_Photo</v>
      </c>
      <c r="K19" s="11" t="s">
        <v>20</v>
      </c>
      <c r="L19" s="11" t="s">
        <v>20</v>
      </c>
      <c r="M19" s="11" t="s">
        <v>20</v>
      </c>
    </row>
    <row r="20" spans="1:13" x14ac:dyDescent="0.25">
      <c r="A20" s="11" t="s">
        <v>82</v>
      </c>
      <c r="C20" s="12" t="s">
        <v>399</v>
      </c>
      <c r="D20" s="12">
        <v>2</v>
      </c>
      <c r="E20" s="4">
        <v>42276.598611111112</v>
      </c>
      <c r="F20" s="12" t="s">
        <v>380</v>
      </c>
      <c r="G20" s="11" t="s">
        <v>21</v>
      </c>
      <c r="I20" s="11" t="str">
        <f>HYPERLINK("RMS Survey MB-20-Sign_Photo.JPG","RMS Survey MB-20-Sign_Photo")</f>
        <v>RMS Survey MB-20-Sign_Photo</v>
      </c>
      <c r="J20" s="11" t="str">
        <f>HYPERLINK("RMS Survey MB-20-Location_Photo.JPG","RMS Survey MB-20-Location_Photo")</f>
        <v>RMS Survey MB-20-Location_Photo</v>
      </c>
      <c r="K20" s="11" t="s">
        <v>84</v>
      </c>
      <c r="L20" s="11" t="s">
        <v>20</v>
      </c>
      <c r="M20" s="11" t="s">
        <v>20</v>
      </c>
    </row>
    <row r="21" spans="1:13" x14ac:dyDescent="0.25">
      <c r="A21" s="11" t="s">
        <v>85</v>
      </c>
      <c r="C21" s="12" t="s">
        <v>400</v>
      </c>
      <c r="E21" s="4">
        <v>42276.601388888892</v>
      </c>
      <c r="F21" s="12" t="s">
        <v>380</v>
      </c>
      <c r="G21" s="11" t="s">
        <v>21</v>
      </c>
      <c r="I21" s="11" t="str">
        <f>HYPERLINK("RMS Survey MB-21-Sign_Photo.JPG","RMS Survey MB-21-Sign_Photo")</f>
        <v>RMS Survey MB-21-Sign_Photo</v>
      </c>
      <c r="J21" s="11" t="str">
        <f>HYPERLINK("RMS Survey MB-21-Location_Photo.JPG","RMS Survey MB-21-Location_Photo")</f>
        <v>RMS Survey MB-21-Location_Photo</v>
      </c>
      <c r="K21" s="11" t="s">
        <v>20</v>
      </c>
      <c r="L21" s="11" t="s">
        <v>20</v>
      </c>
      <c r="M21" s="11" t="s">
        <v>20</v>
      </c>
    </row>
    <row r="22" spans="1:13" x14ac:dyDescent="0.25">
      <c r="A22" s="11" t="s">
        <v>86</v>
      </c>
      <c r="C22" s="12" t="s">
        <v>401</v>
      </c>
      <c r="E22" s="4">
        <v>42276.611805555556</v>
      </c>
      <c r="F22" s="12" t="s">
        <v>380</v>
      </c>
      <c r="G22" s="11" t="s">
        <v>21</v>
      </c>
      <c r="I22" s="11" t="str">
        <f>HYPERLINK("RMS Survey MB-22-Sign_Photo.JPG","RMS Survey MB-22-Sign_Photo")</f>
        <v>RMS Survey MB-22-Sign_Photo</v>
      </c>
      <c r="J22" s="11" t="str">
        <f>HYPERLINK("RMS Survey MB-22-Location_Photo.JPG","RMS Survey MB-22-Location_Photo")</f>
        <v>RMS Survey MB-22-Location_Photo</v>
      </c>
      <c r="K22" s="11" t="s">
        <v>20</v>
      </c>
      <c r="L22" s="11" t="s">
        <v>20</v>
      </c>
      <c r="M22" s="11" t="s">
        <v>20</v>
      </c>
    </row>
    <row r="23" spans="1:13" x14ac:dyDescent="0.25">
      <c r="A23" s="11" t="s">
        <v>88</v>
      </c>
      <c r="C23" s="12" t="s">
        <v>402</v>
      </c>
      <c r="D23" s="12" t="s">
        <v>20</v>
      </c>
      <c r="E23" s="4">
        <v>42276.613888888889</v>
      </c>
      <c r="F23" s="12" t="s">
        <v>380</v>
      </c>
      <c r="G23" s="11" t="s">
        <v>21</v>
      </c>
      <c r="I23" s="11" t="str">
        <f>HYPERLINK("RMS Survey MB-23-Sign_Photo.JPG","RMS Survey MB-23-Sign_Photo")</f>
        <v>RMS Survey MB-23-Sign_Photo</v>
      </c>
      <c r="J23" s="11" t="str">
        <f>HYPERLINK("RMS Survey MB-23-Location_Photo.JPG","RMS Survey MB-23-Location_Photo")</f>
        <v>RMS Survey MB-23-Location_Photo</v>
      </c>
      <c r="K23" s="11" t="s">
        <v>20</v>
      </c>
      <c r="L23" s="11" t="s">
        <v>20</v>
      </c>
      <c r="M23" s="11" t="s">
        <v>20</v>
      </c>
    </row>
    <row r="24" spans="1:13" x14ac:dyDescent="0.25">
      <c r="A24" s="11" t="s">
        <v>91</v>
      </c>
      <c r="C24" s="12" t="s">
        <v>403</v>
      </c>
      <c r="E24" s="4">
        <v>42276.615972222222</v>
      </c>
      <c r="F24" s="12" t="s">
        <v>380</v>
      </c>
      <c r="G24" s="11" t="s">
        <v>21</v>
      </c>
      <c r="I24" s="11" t="str">
        <f>HYPERLINK("RMS Survey MB-24-Sign_Photo.JPG","RMS Survey MB-24-Sign_Photo")</f>
        <v>RMS Survey MB-24-Sign_Photo</v>
      </c>
      <c r="J24" s="11" t="str">
        <f>HYPERLINK("RMS Survey MB-24-Location_Photo.JPG","RMS Survey MB-24-Location_Photo")</f>
        <v>RMS Survey MB-24-Location_Photo</v>
      </c>
      <c r="K24" s="11" t="s">
        <v>20</v>
      </c>
      <c r="L24" s="11" t="s">
        <v>20</v>
      </c>
      <c r="M24" s="11" t="s">
        <v>20</v>
      </c>
    </row>
    <row r="25" spans="1:13" x14ac:dyDescent="0.25">
      <c r="A25" s="11" t="s">
        <v>94</v>
      </c>
      <c r="C25" s="12" t="s">
        <v>404</v>
      </c>
      <c r="E25" s="4">
        <v>42276.618750000001</v>
      </c>
      <c r="F25" s="12" t="s">
        <v>380</v>
      </c>
      <c r="G25" s="11" t="s">
        <v>21</v>
      </c>
      <c r="I25" s="11" t="str">
        <f>HYPERLINK("RMS Survey MB-25-Sign_Photo.JPG","RMS Survey MB-25-Sign_Photo")</f>
        <v>RMS Survey MB-25-Sign_Photo</v>
      </c>
      <c r="J25" s="11" t="str">
        <f>HYPERLINK("RMS Survey MB-25-Location_Photo.JPG","RMS Survey MB-25-Location_Photo")</f>
        <v>RMS Survey MB-25-Location_Photo</v>
      </c>
      <c r="K25" s="11" t="s">
        <v>20</v>
      </c>
      <c r="L25" s="11" t="s">
        <v>20</v>
      </c>
      <c r="M25" s="11" t="s">
        <v>20</v>
      </c>
    </row>
    <row r="26" spans="1:13" x14ac:dyDescent="0.25">
      <c r="A26" s="11" t="s">
        <v>96</v>
      </c>
      <c r="C26" s="12" t="s">
        <v>405</v>
      </c>
      <c r="E26" s="4">
        <v>42276.607638888891</v>
      </c>
      <c r="F26" s="12" t="s">
        <v>380</v>
      </c>
      <c r="G26" s="11" t="s">
        <v>21</v>
      </c>
      <c r="I26" s="11" t="str">
        <f>HYPERLINK("RMS Survey MB-26-Sign_Photo.JPG","RMS Survey MB-26-Sign_Photo")</f>
        <v>RMS Survey MB-26-Sign_Photo</v>
      </c>
      <c r="J26" s="11" t="str">
        <f>HYPERLINK("RMS Survey MB-26-Location_Photo.JPG","RMS Survey MB-26-Location_Photo")</f>
        <v>RMS Survey MB-26-Location_Photo</v>
      </c>
      <c r="K26" s="11" t="s">
        <v>20</v>
      </c>
      <c r="L26" s="11" t="s">
        <v>20</v>
      </c>
      <c r="M26" s="11" t="s">
        <v>20</v>
      </c>
    </row>
    <row r="27" spans="1:13" x14ac:dyDescent="0.25">
      <c r="A27" s="11" t="s">
        <v>99</v>
      </c>
      <c r="C27" s="12" t="s">
        <v>406</v>
      </c>
      <c r="E27" s="4">
        <v>42276.605555555558</v>
      </c>
      <c r="F27" s="12" t="s">
        <v>380</v>
      </c>
      <c r="G27" s="11" t="s">
        <v>21</v>
      </c>
      <c r="I27" s="11" t="str">
        <f>HYPERLINK("RMS Survey MB-27-Sign_Photo.JPG","RMS Survey MB-27-Sign_Photo")</f>
        <v>RMS Survey MB-27-Sign_Photo</v>
      </c>
      <c r="J27" s="11" t="str">
        <f>HYPERLINK("RMS Survey MB-27-Location_Photo.JPG","RMS Survey MB-27-Location_Photo")</f>
        <v>RMS Survey MB-27-Location_Photo</v>
      </c>
      <c r="K27" s="11" t="s">
        <v>20</v>
      </c>
      <c r="L27" s="11" t="s">
        <v>20</v>
      </c>
      <c r="M27" s="11" t="s">
        <v>20</v>
      </c>
    </row>
    <row r="28" spans="1:13" x14ac:dyDescent="0.25">
      <c r="A28" s="11" t="s">
        <v>101</v>
      </c>
      <c r="C28" s="12" t="s">
        <v>407</v>
      </c>
      <c r="E28" s="4">
        <v>42276.61041666667</v>
      </c>
      <c r="F28" s="12" t="s">
        <v>380</v>
      </c>
      <c r="G28" s="11" t="s">
        <v>21</v>
      </c>
      <c r="I28" s="11" t="str">
        <f>HYPERLINK("RMS Survey MB-28-Sign_Photo.JPG","RMS Survey MB-28-Sign_Photo")</f>
        <v>RMS Survey MB-28-Sign_Photo</v>
      </c>
      <c r="J28" s="11" t="str">
        <f>HYPERLINK("RMS Survey MB-28-Location_Photo.JPG","RMS Survey MB-28-Location_Photo")</f>
        <v>RMS Survey MB-28-Location_Photo</v>
      </c>
      <c r="K28" s="11" t="s">
        <v>20</v>
      </c>
      <c r="L28" s="11" t="s">
        <v>20</v>
      </c>
      <c r="M28" s="11" t="s">
        <v>20</v>
      </c>
    </row>
    <row r="29" spans="1:13" x14ac:dyDescent="0.25">
      <c r="A29" s="11" t="s">
        <v>103</v>
      </c>
      <c r="C29" s="12" t="s">
        <v>408</v>
      </c>
      <c r="D29" s="12">
        <v>2</v>
      </c>
      <c r="E29" s="4">
        <v>42276.621527777781</v>
      </c>
      <c r="F29" s="12" t="s">
        <v>380</v>
      </c>
      <c r="G29" s="11" t="s">
        <v>21</v>
      </c>
      <c r="I29" s="11" t="str">
        <f>HYPERLINK("RMS Survey MB-29-Sign_Photo.JPG","RMS Survey MB-29-Sign_Photo")</f>
        <v>RMS Survey MB-29-Sign_Photo</v>
      </c>
      <c r="J29" s="11" t="str">
        <f>HYPERLINK("RMS Survey MB-29-Location_Photo.JPG","RMS Survey MB-29-Location_Photo")</f>
        <v>RMS Survey MB-29-Location_Photo</v>
      </c>
      <c r="K29" s="11" t="s">
        <v>84</v>
      </c>
      <c r="L29" s="11" t="s">
        <v>20</v>
      </c>
      <c r="M29" s="11" t="s">
        <v>20</v>
      </c>
    </row>
    <row r="30" spans="1:13" x14ac:dyDescent="0.25">
      <c r="A30" s="11" t="s">
        <v>105</v>
      </c>
      <c r="C30" s="12" t="s">
        <v>409</v>
      </c>
      <c r="E30" s="4">
        <v>42276.625</v>
      </c>
      <c r="F30" s="12" t="s">
        <v>380</v>
      </c>
      <c r="G30" s="11" t="s">
        <v>21</v>
      </c>
      <c r="I30" s="11" t="str">
        <f>HYPERLINK("RMS Survey MB-30-Sign_Photo.JPG","RMS Survey MB-30-Sign_Photo")</f>
        <v>RMS Survey MB-30-Sign_Photo</v>
      </c>
      <c r="J30" s="11" t="str">
        <f>HYPERLINK("RMS Survey MB-30-Location_Photo.JPG","RMS Survey MB-30-Location_Photo")</f>
        <v>RMS Survey MB-30-Location_Photo</v>
      </c>
      <c r="K30" s="11" t="s">
        <v>20</v>
      </c>
      <c r="L30" s="11" t="s">
        <v>20</v>
      </c>
      <c r="M30" s="11" t="s">
        <v>20</v>
      </c>
    </row>
    <row r="31" spans="1:13" x14ac:dyDescent="0.25">
      <c r="A31" s="11" t="s">
        <v>106</v>
      </c>
      <c r="C31" s="12" t="s">
        <v>410</v>
      </c>
      <c r="E31" s="4">
        <v>42276.627083333333</v>
      </c>
      <c r="F31" s="12" t="s">
        <v>380</v>
      </c>
      <c r="G31" s="11" t="s">
        <v>21</v>
      </c>
      <c r="I31" s="11" t="str">
        <f>HYPERLINK("RMS Survey MB-31-Sign_Photo.JPG","RMS Survey MB-31-Sign_Photo")</f>
        <v>RMS Survey MB-31-Sign_Photo</v>
      </c>
      <c r="J31" s="11" t="str">
        <f>HYPERLINK("RMS Survey MB-31-Location_Photo.JPG","RMS Survey MB-31-Location_Photo")</f>
        <v>RMS Survey MB-31-Location_Photo</v>
      </c>
      <c r="K31" s="11" t="s">
        <v>20</v>
      </c>
      <c r="L31" s="11" t="s">
        <v>20</v>
      </c>
      <c r="M31" s="11" t="s">
        <v>20</v>
      </c>
    </row>
    <row r="32" spans="1:13" x14ac:dyDescent="0.25">
      <c r="A32" s="11" t="s">
        <v>107</v>
      </c>
      <c r="C32" s="12" t="s">
        <v>411</v>
      </c>
      <c r="E32" s="4">
        <v>42276.628472222219</v>
      </c>
      <c r="F32" s="12" t="s">
        <v>380</v>
      </c>
      <c r="G32" s="11" t="s">
        <v>21</v>
      </c>
      <c r="I32" s="11" t="str">
        <f>HYPERLINK("RMS Survey MB-32-Sign_Photo.JPG","RMS Survey MB-32-Sign_Photo")</f>
        <v>RMS Survey MB-32-Sign_Photo</v>
      </c>
      <c r="J32" s="11" t="str">
        <f>HYPERLINK("RMS Survey MB-32-Location_Photo.JPG","RMS Survey MB-32-Location_Photo")</f>
        <v>RMS Survey MB-32-Location_Photo</v>
      </c>
      <c r="K32" s="11" t="s">
        <v>20</v>
      </c>
      <c r="L32" s="11" t="s">
        <v>20</v>
      </c>
      <c r="M32" s="11" t="s">
        <v>20</v>
      </c>
    </row>
    <row r="33" spans="1:13" x14ac:dyDescent="0.25">
      <c r="A33" s="11" t="s">
        <v>108</v>
      </c>
      <c r="C33" s="12" t="s">
        <v>412</v>
      </c>
      <c r="D33" s="12">
        <v>0</v>
      </c>
      <c r="E33" s="4">
        <v>42277.46597222222</v>
      </c>
      <c r="F33" s="12" t="s">
        <v>380</v>
      </c>
      <c r="G33" s="11" t="s">
        <v>21</v>
      </c>
      <c r="I33" s="11" t="str">
        <f>HYPERLINK("RMS Survey MB-33-Sign_Photo.JPG","RMS Survey MB-33-Sign_Photo")</f>
        <v>RMS Survey MB-33-Sign_Photo</v>
      </c>
      <c r="J33" s="11" t="str">
        <f>HYPERLINK("RMS Survey MB-33-Location_Photo.JPG","RMS Survey MB-33-Location_Photo")</f>
        <v>RMS Survey MB-33-Location_Photo</v>
      </c>
      <c r="K33" s="11" t="s">
        <v>51</v>
      </c>
      <c r="L33" s="11" t="s">
        <v>20</v>
      </c>
      <c r="M33" s="11" t="s">
        <v>20</v>
      </c>
    </row>
    <row r="34" spans="1:13" x14ac:dyDescent="0.25">
      <c r="A34" s="11" t="s">
        <v>111</v>
      </c>
      <c r="C34" s="12" t="s">
        <v>413</v>
      </c>
      <c r="D34" s="12">
        <v>0</v>
      </c>
      <c r="E34" s="4">
        <v>42277.46875</v>
      </c>
      <c r="F34" s="12" t="s">
        <v>380</v>
      </c>
      <c r="G34" s="11" t="s">
        <v>21</v>
      </c>
      <c r="I34" s="11" t="str">
        <f>HYPERLINK("RMS Survey MB-35-Sign_Photo.JPG","RMS Survey MB-35-Sign_Photo")</f>
        <v>RMS Survey MB-35-Sign_Photo</v>
      </c>
      <c r="J34" s="11" t="str">
        <f>HYPERLINK("RMS Survey MB-35-Location_Photo.JPG","RMS Survey MB-35-Location_Photo")</f>
        <v>RMS Survey MB-35-Location_Photo</v>
      </c>
      <c r="K34" s="11" t="s">
        <v>51</v>
      </c>
      <c r="L34" s="11" t="s">
        <v>20</v>
      </c>
      <c r="M34" s="11" t="s">
        <v>20</v>
      </c>
    </row>
    <row r="35" spans="1:13" x14ac:dyDescent="0.25">
      <c r="A35" s="11" t="s">
        <v>116</v>
      </c>
      <c r="C35" s="12" t="s">
        <v>414</v>
      </c>
      <c r="E35" s="4">
        <v>42277.47152777778</v>
      </c>
      <c r="F35" s="12" t="s">
        <v>380</v>
      </c>
      <c r="G35" s="11" t="s">
        <v>21</v>
      </c>
      <c r="I35" s="11" t="str">
        <f>HYPERLINK("RMS Survey MB-36-Sign_Photo.JPG","RMS Survey MB-36-Sign_Photo")</f>
        <v>RMS Survey MB-36-Sign_Photo</v>
      </c>
      <c r="J35" s="11" t="str">
        <f>HYPERLINK("RMS Survey MB-36-Location_Photo.JPG","RMS Survey MB-36-Location_Photo")</f>
        <v>RMS Survey MB-36-Location_Photo</v>
      </c>
      <c r="K35" s="11" t="s">
        <v>20</v>
      </c>
      <c r="L35" s="11" t="s">
        <v>20</v>
      </c>
      <c r="M35" s="11" t="s">
        <v>20</v>
      </c>
    </row>
    <row r="36" spans="1:13" x14ac:dyDescent="0.25">
      <c r="A36" s="11" t="s">
        <v>118</v>
      </c>
      <c r="C36" s="12" t="s">
        <v>415</v>
      </c>
      <c r="D36" s="12">
        <v>2</v>
      </c>
      <c r="E36" s="4">
        <v>42277.479861111111</v>
      </c>
      <c r="F36" s="12" t="s">
        <v>380</v>
      </c>
      <c r="G36" s="11" t="s">
        <v>21</v>
      </c>
      <c r="I36" s="11" t="str">
        <f>HYPERLINK("RMS Survey MB-37-Sign_Photo.JPG","RMS Survey MB-37-Sign_Photo")</f>
        <v>RMS Survey MB-37-Sign_Photo</v>
      </c>
      <c r="J36" s="11" t="str">
        <f>HYPERLINK("RMS Survey MB-37-Location_Photo.JPG","RMS Survey MB-37-Location_Photo")</f>
        <v>RMS Survey MB-37-Location_Photo</v>
      </c>
      <c r="K36" s="11" t="s">
        <v>84</v>
      </c>
      <c r="L36" s="11" t="s">
        <v>20</v>
      </c>
      <c r="M36" s="11" t="s">
        <v>20</v>
      </c>
    </row>
    <row r="37" spans="1:13" x14ac:dyDescent="0.25">
      <c r="A37" s="11" t="s">
        <v>120</v>
      </c>
      <c r="C37" s="12" t="s">
        <v>416</v>
      </c>
      <c r="D37" s="12">
        <v>3</v>
      </c>
      <c r="E37" s="4">
        <v>42277.486111111109</v>
      </c>
      <c r="F37" s="12" t="s">
        <v>380</v>
      </c>
      <c r="G37" s="11" t="s">
        <v>21</v>
      </c>
      <c r="I37" s="11" t="str">
        <f>HYPERLINK("RMS Survey MB-38-Sign_Photo.JPG","RMS Survey MB-38-Sign_Photo")</f>
        <v>RMS Survey MB-38-Sign_Photo</v>
      </c>
      <c r="J37" s="11" t="str">
        <f>HYPERLINK("RMS Survey MB-38-Location_Photo.JPG","RMS Survey MB-38-Location_Photo")</f>
        <v>RMS Survey MB-38-Location_Photo</v>
      </c>
      <c r="K37" s="11" t="s">
        <v>122</v>
      </c>
      <c r="L37" s="11" t="s">
        <v>20</v>
      </c>
      <c r="M37" s="11" t="s">
        <v>20</v>
      </c>
    </row>
    <row r="38" spans="1:13" x14ac:dyDescent="0.25">
      <c r="A38" s="11" t="s">
        <v>123</v>
      </c>
      <c r="C38" s="12" t="s">
        <v>417</v>
      </c>
      <c r="D38" s="12">
        <v>0</v>
      </c>
      <c r="E38" s="4">
        <v>42277.484027777777</v>
      </c>
      <c r="F38" s="12" t="s">
        <v>380</v>
      </c>
      <c r="G38" s="11" t="s">
        <v>21</v>
      </c>
      <c r="I38" s="11" t="str">
        <f>HYPERLINK("RMS Survey MB-39-Sign_Photo.JPG","RMS Survey MB-39-Sign_Photo")</f>
        <v>RMS Survey MB-39-Sign_Photo</v>
      </c>
      <c r="J38" s="11" t="str">
        <f>HYPERLINK("RMS Survey MB-39-Location_Photo.JPG","RMS Survey MB-39-Location_Photo")</f>
        <v>RMS Survey MB-39-Location_Photo</v>
      </c>
      <c r="K38" s="11" t="s">
        <v>51</v>
      </c>
      <c r="L38" s="11" t="s">
        <v>20</v>
      </c>
      <c r="M38" s="11" t="s">
        <v>20</v>
      </c>
    </row>
    <row r="39" spans="1:13" x14ac:dyDescent="0.25">
      <c r="A39" s="11" t="s">
        <v>124</v>
      </c>
      <c r="C39" s="12" t="s">
        <v>418</v>
      </c>
      <c r="E39" s="4">
        <v>42277.505555555559</v>
      </c>
      <c r="F39" s="12" t="s">
        <v>380</v>
      </c>
      <c r="G39" s="11" t="s">
        <v>21</v>
      </c>
      <c r="I39" s="11" t="str">
        <f>HYPERLINK("RMS Survey MB-40-Sign_Photo.JPG","RMS Survey MB-40-Sign_Photo")</f>
        <v>RMS Survey MB-40-Sign_Photo</v>
      </c>
      <c r="J39" s="11" t="str">
        <f>HYPERLINK("RMS Survey MB-40-Location_Photo.JPG","RMS Survey MB-40-Location_Photo")</f>
        <v>RMS Survey MB-40-Location_Photo</v>
      </c>
      <c r="K39" s="11" t="s">
        <v>20</v>
      </c>
      <c r="L39" s="11" t="s">
        <v>20</v>
      </c>
      <c r="M39" s="11" t="s">
        <v>20</v>
      </c>
    </row>
    <row r="40" spans="1:13" x14ac:dyDescent="0.25">
      <c r="A40" s="11" t="s">
        <v>125</v>
      </c>
      <c r="C40" s="12" t="s">
        <v>419</v>
      </c>
      <c r="E40" s="4">
        <v>42277.53402777778</v>
      </c>
      <c r="F40" s="12" t="s">
        <v>380</v>
      </c>
      <c r="G40" s="11" t="s">
        <v>21</v>
      </c>
      <c r="I40" s="11" t="str">
        <f>HYPERLINK("RMS Survey MB-41-Sign_Photo.JPG","RMS Survey MB-41-Sign_Photo")</f>
        <v>RMS Survey MB-41-Sign_Photo</v>
      </c>
      <c r="J40" s="11" t="str">
        <f>HYPERLINK("RMS Survey MB-41-Location_Photo.JPG","RMS Survey MB-41-Location_Photo")</f>
        <v>RMS Survey MB-41-Location_Photo</v>
      </c>
      <c r="K40" s="11" t="s">
        <v>20</v>
      </c>
      <c r="L40" s="11" t="s">
        <v>20</v>
      </c>
      <c r="M40" s="11" t="s">
        <v>20</v>
      </c>
    </row>
    <row r="41" spans="1:13" x14ac:dyDescent="0.25">
      <c r="A41" s="11" t="s">
        <v>128</v>
      </c>
      <c r="C41" s="12" t="s">
        <v>420</v>
      </c>
      <c r="E41" s="4">
        <v>42277.538194444445</v>
      </c>
      <c r="F41" s="12" t="s">
        <v>380</v>
      </c>
      <c r="G41" s="11" t="s">
        <v>21</v>
      </c>
      <c r="I41" s="11" t="str">
        <f>HYPERLINK("RMS Survey MB-42-Sign_Photo.JPG","RMS Survey MB-42-Sign_Photo")</f>
        <v>RMS Survey MB-42-Sign_Photo</v>
      </c>
      <c r="J41" s="11" t="str">
        <f>HYPERLINK("RMS Survey MB-42-Location_Photo.JPG","RMS Survey MB-42-Location_Photo")</f>
        <v>RMS Survey MB-42-Location_Photo</v>
      </c>
      <c r="K41" s="11" t="s">
        <v>20</v>
      </c>
      <c r="L41" s="11" t="s">
        <v>20</v>
      </c>
      <c r="M41" s="11" t="s">
        <v>20</v>
      </c>
    </row>
    <row r="42" spans="1:13" x14ac:dyDescent="0.25">
      <c r="A42" s="11" t="s">
        <v>130</v>
      </c>
      <c r="C42" s="12" t="s">
        <v>421</v>
      </c>
      <c r="E42" s="4">
        <v>42277.556250000001</v>
      </c>
      <c r="F42" s="12" t="s">
        <v>380</v>
      </c>
      <c r="G42" s="11" t="s">
        <v>21</v>
      </c>
      <c r="I42" s="11" t="str">
        <f>HYPERLINK("RMS Survey MB-43-Sign_Photo.JPG","RMS Survey MB-43-Sign_Photo")</f>
        <v>RMS Survey MB-43-Sign_Photo</v>
      </c>
      <c r="J42" s="11" t="str">
        <f>HYPERLINK("RMS Survey MB-43-Location_Photo.JPG","RMS Survey MB-43-Location_Photo")</f>
        <v>RMS Survey MB-43-Location_Photo</v>
      </c>
      <c r="K42" s="11" t="s">
        <v>20</v>
      </c>
      <c r="L42" s="11" t="s">
        <v>20</v>
      </c>
      <c r="M42" s="11" t="s">
        <v>20</v>
      </c>
    </row>
    <row r="43" spans="1:13" x14ac:dyDescent="0.25">
      <c r="A43" s="11" t="s">
        <v>132</v>
      </c>
      <c r="C43" s="12" t="s">
        <v>422</v>
      </c>
      <c r="E43" s="4">
        <v>42277.55972222222</v>
      </c>
      <c r="F43" s="12" t="s">
        <v>380</v>
      </c>
      <c r="G43" s="11" t="s">
        <v>21</v>
      </c>
      <c r="I43" s="11" t="str">
        <f>HYPERLINK("RMS Survey MB-44-Sign_Photo.JPG","RMS Survey MB-44-Sign_Photo")</f>
        <v>RMS Survey MB-44-Sign_Photo</v>
      </c>
      <c r="J43" s="11" t="str">
        <f>HYPERLINK("RMS Survey MB-44-Location_Photo.JPG","RMS Survey MB-44-Location_Photo")</f>
        <v>RMS Survey MB-44-Location_Photo</v>
      </c>
      <c r="K43" s="11" t="s">
        <v>20</v>
      </c>
      <c r="L43" s="11" t="s">
        <v>20</v>
      </c>
      <c r="M43" s="11" t="s">
        <v>20</v>
      </c>
    </row>
    <row r="44" spans="1:13" x14ac:dyDescent="0.25">
      <c r="A44" s="11" t="s">
        <v>133</v>
      </c>
      <c r="C44" s="12" t="s">
        <v>423</v>
      </c>
      <c r="D44" s="12">
        <v>2</v>
      </c>
      <c r="E44" s="4">
        <v>42277.561111111114</v>
      </c>
      <c r="F44" s="12" t="s">
        <v>380</v>
      </c>
      <c r="G44" s="11" t="s">
        <v>21</v>
      </c>
      <c r="I44" s="11" t="str">
        <f>HYPERLINK("RMS Survey MB-45-Sign_Photo.JPG","RMS Survey MB-45-Sign_Photo")</f>
        <v>RMS Survey MB-45-Sign_Photo</v>
      </c>
      <c r="J44" s="11" t="str">
        <f>HYPERLINK("RMS Survey MB-45-Location_Photo.JPG","RMS Survey MB-45-Location_Photo")</f>
        <v>RMS Survey MB-45-Location_Photo</v>
      </c>
      <c r="K44" s="11" t="s">
        <v>134</v>
      </c>
      <c r="L44" s="11" t="s">
        <v>20</v>
      </c>
      <c r="M44" s="11" t="s">
        <v>33</v>
      </c>
    </row>
    <row r="45" spans="1:13" x14ac:dyDescent="0.25">
      <c r="A45" s="11" t="s">
        <v>135</v>
      </c>
      <c r="C45" s="12" t="s">
        <v>424</v>
      </c>
      <c r="E45" s="4">
        <v>42277.564583333333</v>
      </c>
      <c r="F45" s="12" t="s">
        <v>380</v>
      </c>
      <c r="G45" s="11" t="s">
        <v>21</v>
      </c>
      <c r="I45" s="11" t="str">
        <f>HYPERLINK("RMS Survey MB-46-Sign_Photo.JPG","RMS Survey MB-46-Sign_Photo")</f>
        <v>RMS Survey MB-46-Sign_Photo</v>
      </c>
      <c r="J45" s="11" t="str">
        <f>HYPERLINK("RMS Survey MB-46-Location_Photo.JPG","RMS Survey MB-46-Location_Photo")</f>
        <v>RMS Survey MB-46-Location_Photo</v>
      </c>
      <c r="K45" s="11" t="s">
        <v>20</v>
      </c>
      <c r="L45" s="11" t="s">
        <v>20</v>
      </c>
      <c r="M45" s="11" t="s">
        <v>20</v>
      </c>
    </row>
    <row r="46" spans="1:13" x14ac:dyDescent="0.25">
      <c r="A46" s="11" t="s">
        <v>136</v>
      </c>
      <c r="C46" s="12" t="s">
        <v>425</v>
      </c>
      <c r="D46" s="12" t="s">
        <v>20</v>
      </c>
      <c r="E46" s="4">
        <v>42277.552083333336</v>
      </c>
      <c r="F46" s="12" t="s">
        <v>380</v>
      </c>
      <c r="G46" s="11" t="s">
        <v>21</v>
      </c>
      <c r="I46" s="11" t="str">
        <f>HYPERLINK("RMS Survey MB-47-Sign_Photo.JPG","RMS Survey MB-47-Sign_Photo")</f>
        <v>RMS Survey MB-47-Sign_Photo</v>
      </c>
      <c r="J46" s="11" t="str">
        <f>HYPERLINK("RMS Survey MB-47-Location_Photo.JPG","RMS Survey MB-47-Location_Photo")</f>
        <v>RMS Survey MB-47-Location_Photo</v>
      </c>
      <c r="K46" s="11" t="s">
        <v>20</v>
      </c>
      <c r="L46" s="11" t="s">
        <v>20</v>
      </c>
      <c r="M46" s="11" t="s">
        <v>20</v>
      </c>
    </row>
    <row r="47" spans="1:13" x14ac:dyDescent="0.25">
      <c r="A47" s="11" t="s">
        <v>137</v>
      </c>
      <c r="C47" s="12" t="s">
        <v>426</v>
      </c>
      <c r="D47" s="12">
        <v>0</v>
      </c>
      <c r="E47" s="4">
        <v>42277.54583333333</v>
      </c>
      <c r="F47" s="12" t="s">
        <v>380</v>
      </c>
      <c r="G47" s="11" t="s">
        <v>21</v>
      </c>
      <c r="I47" s="11" t="str">
        <f>HYPERLINK("RMS Survey MB-48-Sign_Photo.JPG","RMS Survey MB-48-Sign_Photo")</f>
        <v>RMS Survey MB-48-Sign_Photo</v>
      </c>
      <c r="J47" s="11" t="str">
        <f>HYPERLINK("RMS Survey MB-48-Location_Photo.JPG","RMS Survey MB-48-Location_Photo")</f>
        <v>RMS Survey MB-48-Location_Photo</v>
      </c>
      <c r="K47" s="11" t="s">
        <v>51</v>
      </c>
      <c r="L47" s="11" t="s">
        <v>20</v>
      </c>
      <c r="M47" s="11" t="s">
        <v>20</v>
      </c>
    </row>
    <row r="48" spans="1:13" x14ac:dyDescent="0.25">
      <c r="A48" s="11" t="s">
        <v>140</v>
      </c>
      <c r="C48" s="12" t="s">
        <v>427</v>
      </c>
      <c r="D48" s="12">
        <v>0</v>
      </c>
      <c r="E48" s="4">
        <v>42277.549305555556</v>
      </c>
      <c r="F48" s="12" t="s">
        <v>380</v>
      </c>
      <c r="G48" s="11" t="s">
        <v>21</v>
      </c>
      <c r="I48" s="11" t="str">
        <f>HYPERLINK("RMS Survey MB-49-Sign_Photo.JPG","RMS Survey MB-49-Sign_Photo")</f>
        <v>RMS Survey MB-49-Sign_Photo</v>
      </c>
      <c r="J48" s="11" t="str">
        <f>HYPERLINK("RMS Survey MB-49-Location_Photo.JPG","RMS Survey MB-49-Location_Photo")</f>
        <v>RMS Survey MB-49-Location_Photo</v>
      </c>
      <c r="K48" s="11" t="s">
        <v>51</v>
      </c>
      <c r="L48" s="11" t="s">
        <v>20</v>
      </c>
      <c r="M48" s="11" t="s">
        <v>20</v>
      </c>
    </row>
    <row r="49" spans="1:13" x14ac:dyDescent="0.25">
      <c r="A49" s="11" t="s">
        <v>142</v>
      </c>
      <c r="C49" s="12" t="s">
        <v>428</v>
      </c>
      <c r="E49" s="4">
        <v>42277.57916666667</v>
      </c>
      <c r="F49" s="12" t="s">
        <v>380</v>
      </c>
      <c r="G49" s="11" t="s">
        <v>21</v>
      </c>
      <c r="I49" s="11" t="str">
        <f>HYPERLINK("RMS Survey MB-50-Sign_Photo.JPG","RMS Survey MB-50-Sign_Photo")</f>
        <v>RMS Survey MB-50-Sign_Photo</v>
      </c>
      <c r="J49" s="11" t="str">
        <f>HYPERLINK("RMS Survey MB-50-Location_Photo.JPG","RMS Survey MB-50-Location_Photo")</f>
        <v>RMS Survey MB-50-Location_Photo</v>
      </c>
      <c r="K49" s="11" t="s">
        <v>20</v>
      </c>
      <c r="L49" s="11" t="s">
        <v>20</v>
      </c>
      <c r="M49" s="11" t="s">
        <v>20</v>
      </c>
    </row>
    <row r="50" spans="1:13" x14ac:dyDescent="0.25">
      <c r="A50" s="11" t="s">
        <v>144</v>
      </c>
      <c r="C50" s="12" t="s">
        <v>429</v>
      </c>
      <c r="D50" s="12" t="s">
        <v>20</v>
      </c>
      <c r="E50" s="4">
        <v>42277.543055555558</v>
      </c>
      <c r="F50" s="12" t="s">
        <v>380</v>
      </c>
      <c r="G50" s="11" t="s">
        <v>21</v>
      </c>
      <c r="I50" s="11" t="str">
        <f>HYPERLINK("RMS Survey MB-51-Sign_Photo.JPG","RMS Survey MB-51-Sign_Photo")</f>
        <v>RMS Survey MB-51-Sign_Photo</v>
      </c>
      <c r="J50" s="11" t="str">
        <f>HYPERLINK("RMS Survey MB-51-Location_Photo.JPG","RMS Survey MB-51-Location_Photo")</f>
        <v>RMS Survey MB-51-Location_Photo</v>
      </c>
      <c r="K50" s="11" t="s">
        <v>20</v>
      </c>
      <c r="L50" s="11" t="s">
        <v>20</v>
      </c>
      <c r="M50" s="11" t="s">
        <v>20</v>
      </c>
    </row>
    <row r="51" spans="1:13" x14ac:dyDescent="0.25">
      <c r="A51" s="11" t="s">
        <v>146</v>
      </c>
      <c r="C51" s="12" t="s">
        <v>430</v>
      </c>
      <c r="E51" s="4">
        <v>42277.570833333331</v>
      </c>
      <c r="F51" s="12" t="s">
        <v>380</v>
      </c>
      <c r="G51" s="11" t="s">
        <v>21</v>
      </c>
      <c r="I51" s="11" t="str">
        <f>HYPERLINK("RMS Survey MB-52-Sign_Photo.JPG","RMS Survey MB-52-Sign_Photo")</f>
        <v>RMS Survey MB-52-Sign_Photo</v>
      </c>
      <c r="J51" s="11" t="str">
        <f>HYPERLINK("RMS Survey MB-52-Location_Photo.JPG","RMS Survey MB-52-Location_Photo")</f>
        <v>RMS Survey MB-52-Location_Photo</v>
      </c>
      <c r="K51" s="11" t="s">
        <v>20</v>
      </c>
      <c r="L51" s="11" t="s">
        <v>20</v>
      </c>
      <c r="M51" s="11" t="s">
        <v>20</v>
      </c>
    </row>
    <row r="52" spans="1:13" x14ac:dyDescent="0.25">
      <c r="A52" s="11" t="s">
        <v>150</v>
      </c>
      <c r="C52" s="12" t="s">
        <v>431</v>
      </c>
      <c r="E52" s="4">
        <v>42277.566666666666</v>
      </c>
      <c r="F52" s="12" t="s">
        <v>380</v>
      </c>
      <c r="G52" s="11" t="s">
        <v>21</v>
      </c>
      <c r="I52" s="11" t="str">
        <f>HYPERLINK("RMS Survey MB-53-Sign_Photo.JPG","RMS Survey MB-53-Sign_Photo")</f>
        <v>RMS Survey MB-53-Sign_Photo</v>
      </c>
      <c r="J52" s="11" t="str">
        <f>HYPERLINK("RMS Survey MB-53-Location_Photo.JPG","RMS Survey MB-53-Location_Photo")</f>
        <v>RMS Survey MB-53-Location_Photo</v>
      </c>
      <c r="K52" s="11" t="s">
        <v>20</v>
      </c>
      <c r="L52" s="11" t="s">
        <v>20</v>
      </c>
      <c r="M52" s="11" t="s">
        <v>20</v>
      </c>
    </row>
    <row r="53" spans="1:13" x14ac:dyDescent="0.25">
      <c r="A53" s="11" t="s">
        <v>152</v>
      </c>
      <c r="C53" s="12" t="s">
        <v>432</v>
      </c>
      <c r="E53" s="4">
        <v>42277.573611111111</v>
      </c>
      <c r="F53" s="12" t="s">
        <v>380</v>
      </c>
      <c r="G53" s="11" t="s">
        <v>21</v>
      </c>
      <c r="I53" s="11" t="str">
        <f>HYPERLINK("RMS Survey MB-54-Sign_Photo.JPG","RMS Survey MB-54-Sign_Photo")</f>
        <v>RMS Survey MB-54-Sign_Photo</v>
      </c>
      <c r="J53" s="11" t="str">
        <f>HYPERLINK("RMS Survey MB-54-Location_Photo.JPG","RMS Survey MB-54-Location_Photo")</f>
        <v>RMS Survey MB-54-Location_Photo</v>
      </c>
      <c r="K53" s="11" t="s">
        <v>20</v>
      </c>
      <c r="L53" s="11" t="s">
        <v>20</v>
      </c>
      <c r="M53" s="11" t="s">
        <v>20</v>
      </c>
    </row>
    <row r="54" spans="1:13" x14ac:dyDescent="0.25">
      <c r="A54" s="11" t="s">
        <v>153</v>
      </c>
      <c r="C54" s="12" t="s">
        <v>433</v>
      </c>
      <c r="E54" s="4">
        <v>42277.575694444444</v>
      </c>
      <c r="F54" s="12" t="s">
        <v>380</v>
      </c>
      <c r="G54" s="11" t="s">
        <v>21</v>
      </c>
      <c r="I54" s="11" t="str">
        <f>HYPERLINK("RMS Survey MB-55-Sign_Photo.JPG","RMS Survey MB-55-Sign_Photo")</f>
        <v>RMS Survey MB-55-Sign_Photo</v>
      </c>
      <c r="J54" s="11" t="str">
        <f>HYPERLINK("RMS Survey MB-55-Location_Photo.JPG","RMS Survey MB-55-Location_Photo")</f>
        <v>RMS Survey MB-55-Location_Photo</v>
      </c>
      <c r="K54" s="11" t="s">
        <v>20</v>
      </c>
      <c r="L54" s="11" t="s">
        <v>20</v>
      </c>
      <c r="M54" s="11" t="s">
        <v>20</v>
      </c>
    </row>
    <row r="55" spans="1:13" x14ac:dyDescent="0.25">
      <c r="A55" s="11" t="s">
        <v>154</v>
      </c>
      <c r="C55" s="12" t="s">
        <v>434</v>
      </c>
      <c r="E55" s="4">
        <v>42277.576388888891</v>
      </c>
      <c r="F55" s="12" t="s">
        <v>380</v>
      </c>
      <c r="G55" s="11" t="s">
        <v>21</v>
      </c>
      <c r="I55" s="11" t="str">
        <f>HYPERLINK("RMS Survey MB-56-Sign_Photo.JPG","RMS Survey MB-56-Sign_Photo")</f>
        <v>RMS Survey MB-56-Sign_Photo</v>
      </c>
      <c r="J55" s="11" t="str">
        <f>HYPERLINK("RMS Survey MB-56-Location_Photo.JPG","RMS Survey MB-56-Location_Photo")</f>
        <v>RMS Survey MB-56-Location_Photo</v>
      </c>
      <c r="K55" s="11" t="s">
        <v>20</v>
      </c>
      <c r="L55" s="11" t="s">
        <v>20</v>
      </c>
      <c r="M55" s="11" t="s">
        <v>20</v>
      </c>
    </row>
    <row r="56" spans="1:13" x14ac:dyDescent="0.25">
      <c r="A56" s="11" t="s">
        <v>156</v>
      </c>
      <c r="C56" s="12" t="s">
        <v>435</v>
      </c>
      <c r="E56" s="4">
        <v>42277.592361111114</v>
      </c>
      <c r="F56" s="12" t="s">
        <v>380</v>
      </c>
      <c r="G56" s="11" t="s">
        <v>21</v>
      </c>
      <c r="I56" s="11" t="str">
        <f>HYPERLINK("RMS Survey MB-57-Sign_Photo.JPG","RMS Survey MB-57-Sign_Photo")</f>
        <v>RMS Survey MB-57-Sign_Photo</v>
      </c>
      <c r="J56" s="11" t="str">
        <f>HYPERLINK("RMS Survey MB-57-Location_Photo.JPG","RMS Survey MB-57-Location_Photo")</f>
        <v>RMS Survey MB-57-Location_Photo</v>
      </c>
      <c r="K56" s="11" t="s">
        <v>20</v>
      </c>
      <c r="L56" s="11" t="s">
        <v>20</v>
      </c>
      <c r="M56" s="11" t="s">
        <v>20</v>
      </c>
    </row>
    <row r="57" spans="1:13" x14ac:dyDescent="0.25">
      <c r="A57" s="11" t="s">
        <v>159</v>
      </c>
      <c r="C57" s="12" t="s">
        <v>436</v>
      </c>
      <c r="E57" s="4">
        <v>42277.595138888886</v>
      </c>
      <c r="F57" s="12" t="s">
        <v>380</v>
      </c>
      <c r="G57" s="11" t="s">
        <v>21</v>
      </c>
      <c r="I57" s="11" t="str">
        <f>HYPERLINK("RMS Survey MB-58-Sign_Photo.JPG","RMS Survey MB-58-Sign_Photo")</f>
        <v>RMS Survey MB-58-Sign_Photo</v>
      </c>
      <c r="J57" s="11" t="str">
        <f>HYPERLINK("RMS Survey MB-58-Location_Photo.JPG","RMS Survey MB-58-Location_Photo")</f>
        <v>RMS Survey MB-58-Location_Photo</v>
      </c>
      <c r="K57" s="11" t="s">
        <v>20</v>
      </c>
      <c r="L57" s="11" t="s">
        <v>20</v>
      </c>
      <c r="M57" s="11" t="s">
        <v>20</v>
      </c>
    </row>
    <row r="58" spans="1:13" x14ac:dyDescent="0.25">
      <c r="A58" s="11" t="s">
        <v>162</v>
      </c>
      <c r="C58" s="12" t="s">
        <v>437</v>
      </c>
      <c r="E58" s="4">
        <v>42277.599999999999</v>
      </c>
      <c r="F58" s="12" t="s">
        <v>380</v>
      </c>
      <c r="G58" s="11" t="s">
        <v>21</v>
      </c>
      <c r="I58" s="11" t="str">
        <f>HYPERLINK("RMS Survey MB-59-Sign_Photo.JPG","RMS Survey MB-59-Sign_Photo")</f>
        <v>RMS Survey MB-59-Sign_Photo</v>
      </c>
      <c r="J58" s="11" t="str">
        <f>HYPERLINK("RMS Survey MB-59-Location_Photo.JPG","RMS Survey MB-59-Location_Photo")</f>
        <v>RMS Survey MB-59-Location_Photo</v>
      </c>
      <c r="K58" s="11" t="s">
        <v>20</v>
      </c>
      <c r="L58" s="11" t="s">
        <v>20</v>
      </c>
      <c r="M58" s="11" t="s">
        <v>20</v>
      </c>
    </row>
    <row r="59" spans="1:13" x14ac:dyDescent="0.25">
      <c r="A59" s="11" t="s">
        <v>164</v>
      </c>
      <c r="C59" s="12" t="s">
        <v>438</v>
      </c>
      <c r="D59" s="12">
        <v>0</v>
      </c>
      <c r="E59" s="4">
        <v>42277.602777777778</v>
      </c>
      <c r="F59" s="12" t="s">
        <v>380</v>
      </c>
      <c r="G59" s="11" t="s">
        <v>21</v>
      </c>
      <c r="I59" s="11" t="str">
        <f>HYPERLINK("RMS Survey MB-60-Sign_Photo.JPG","RMS Survey MB-60-Sign_Photo")</f>
        <v>RMS Survey MB-60-Sign_Photo</v>
      </c>
      <c r="J59" s="11" t="str">
        <f>HYPERLINK("RMS Survey MB-60-Location_Photo.JPG","RMS Survey MB-60-Location_Photo")</f>
        <v>RMS Survey MB-60-Location_Photo</v>
      </c>
      <c r="K59" s="11" t="s">
        <v>51</v>
      </c>
      <c r="L59" s="11" t="s">
        <v>20</v>
      </c>
      <c r="M59" s="11" t="s">
        <v>20</v>
      </c>
    </row>
    <row r="60" spans="1:13" x14ac:dyDescent="0.25">
      <c r="A60" s="11" t="s">
        <v>166</v>
      </c>
      <c r="C60" s="12" t="s">
        <v>439</v>
      </c>
      <c r="E60" s="4">
        <v>42277.612500000003</v>
      </c>
      <c r="F60" s="12" t="s">
        <v>380</v>
      </c>
      <c r="G60" s="11" t="s">
        <v>21</v>
      </c>
      <c r="I60" s="11" t="str">
        <f>HYPERLINK("RMS Survey MB-61-Sign_Photo.JPG","RMS Survey MB-61-Sign_Photo")</f>
        <v>RMS Survey MB-61-Sign_Photo</v>
      </c>
      <c r="J60" s="11" t="str">
        <f>HYPERLINK("RMS Survey MB-61-Location_Photo.JPG","RMS Survey MB-61-Location_Photo")</f>
        <v>RMS Survey MB-61-Location_Photo</v>
      </c>
      <c r="K60" s="11" t="s">
        <v>20</v>
      </c>
      <c r="L60" s="11" t="s">
        <v>20</v>
      </c>
      <c r="M60" s="11" t="s">
        <v>20</v>
      </c>
    </row>
    <row r="61" spans="1:13" x14ac:dyDescent="0.25">
      <c r="A61" s="11" t="s">
        <v>167</v>
      </c>
      <c r="C61" s="12" t="s">
        <v>440</v>
      </c>
      <c r="E61" s="4">
        <v>42277.611111111109</v>
      </c>
      <c r="F61" s="12" t="s">
        <v>380</v>
      </c>
      <c r="G61" s="11" t="s">
        <v>21</v>
      </c>
      <c r="I61" s="11" t="str">
        <f>HYPERLINK("RMS Survey MB-62-Sign_Photo.JPG","RMS Survey MB-62-Sign_Photo")</f>
        <v>RMS Survey MB-62-Sign_Photo</v>
      </c>
      <c r="J61" s="11" t="str">
        <f>HYPERLINK("RMS Survey MB-62-Location_Photo.JPG","RMS Survey MB-62-Location_Photo")</f>
        <v>RMS Survey MB-62-Location_Photo</v>
      </c>
      <c r="K61" s="11" t="s">
        <v>20</v>
      </c>
      <c r="L61" s="11" t="s">
        <v>20</v>
      </c>
      <c r="M61" s="11" t="s">
        <v>20</v>
      </c>
    </row>
    <row r="62" spans="1:13" x14ac:dyDescent="0.25">
      <c r="A62" s="11" t="s">
        <v>168</v>
      </c>
      <c r="C62" s="12" t="s">
        <v>441</v>
      </c>
      <c r="E62" s="4">
        <v>42277.616666666669</v>
      </c>
      <c r="F62" s="12" t="s">
        <v>380</v>
      </c>
      <c r="G62" s="11" t="s">
        <v>21</v>
      </c>
      <c r="I62" s="11" t="str">
        <f>HYPERLINK("RMS Survey MB-63-Sign_Photo.JPG","RMS Survey MB-63-Sign_Photo")</f>
        <v>RMS Survey MB-63-Sign_Photo</v>
      </c>
      <c r="J62" s="11" t="str">
        <f>HYPERLINK("RMS Survey MB-63-Location_Photo.JPG","RMS Survey MB-63-Location_Photo")</f>
        <v>RMS Survey MB-63-Location_Photo</v>
      </c>
      <c r="K62" s="11" t="s">
        <v>20</v>
      </c>
      <c r="L62" s="11" t="s">
        <v>20</v>
      </c>
      <c r="M62" s="11" t="s">
        <v>20</v>
      </c>
    </row>
    <row r="63" spans="1:13" x14ac:dyDescent="0.25">
      <c r="A63" s="11" t="s">
        <v>169</v>
      </c>
      <c r="C63" s="12" t="s">
        <v>442</v>
      </c>
      <c r="E63" s="4">
        <v>42277.618750000001</v>
      </c>
      <c r="F63" s="12" t="s">
        <v>380</v>
      </c>
      <c r="G63" s="11" t="s">
        <v>21</v>
      </c>
      <c r="I63" s="11" t="str">
        <f>HYPERLINK("RMS Survey MB-64-Sign_Photo.JPG","RMS Survey MB-64-Sign_Photo")</f>
        <v>RMS Survey MB-64-Sign_Photo</v>
      </c>
      <c r="J63" s="11" t="str">
        <f>HYPERLINK("RMS Survey MB-64-Location_Photo.JPG","RMS Survey MB-64-Location_Photo")</f>
        <v>RMS Survey MB-64-Location_Photo</v>
      </c>
      <c r="K63" s="11" t="s">
        <v>20</v>
      </c>
      <c r="L63" s="11" t="s">
        <v>20</v>
      </c>
      <c r="M63" s="11" t="s">
        <v>20</v>
      </c>
    </row>
    <row r="64" spans="1:13" x14ac:dyDescent="0.25">
      <c r="A64" s="11" t="s">
        <v>170</v>
      </c>
      <c r="C64" s="12" t="s">
        <v>443</v>
      </c>
      <c r="E64" s="4">
        <v>42277.620138888888</v>
      </c>
      <c r="F64" s="12" t="s">
        <v>380</v>
      </c>
      <c r="G64" s="11" t="s">
        <v>21</v>
      </c>
      <c r="I64" s="11" t="str">
        <f>HYPERLINK("RMS Survey MB-65-Sign_Photo.JPG","RMS Survey MB-65-Sign_Photo")</f>
        <v>RMS Survey MB-65-Sign_Photo</v>
      </c>
      <c r="J64" s="11" t="str">
        <f>HYPERLINK("RMS Survey MB-65-Location_Photo.JPG","RMS Survey MB-65-Location_Photo")</f>
        <v>RMS Survey MB-65-Location_Photo</v>
      </c>
      <c r="K64" s="11" t="s">
        <v>20</v>
      </c>
      <c r="L64" s="11" t="s">
        <v>20</v>
      </c>
      <c r="M64" s="11" t="s">
        <v>20</v>
      </c>
    </row>
    <row r="65" spans="1:13" x14ac:dyDescent="0.25">
      <c r="A65" s="11" t="s">
        <v>171</v>
      </c>
      <c r="C65" s="12" t="s">
        <v>444</v>
      </c>
      <c r="E65" s="4">
        <v>42277.621527777781</v>
      </c>
      <c r="F65" s="12" t="s">
        <v>380</v>
      </c>
      <c r="G65" s="11" t="s">
        <v>21</v>
      </c>
      <c r="I65" s="11" t="str">
        <f>HYPERLINK("RMS Survey MB-66-Sign_Photo.JPG","RMS Survey MB-66-Sign_Photo")</f>
        <v>RMS Survey MB-66-Sign_Photo</v>
      </c>
      <c r="J65" s="11" t="str">
        <f>HYPERLINK("RMS Survey MB-66-Location_Photo.JPG","RMS Survey MB-66-Location_Photo")</f>
        <v>RMS Survey MB-66-Location_Photo</v>
      </c>
      <c r="K65" s="11" t="s">
        <v>20</v>
      </c>
      <c r="L65" s="11" t="s">
        <v>20</v>
      </c>
      <c r="M65" s="11" t="s">
        <v>20</v>
      </c>
    </row>
    <row r="66" spans="1:13" x14ac:dyDescent="0.25">
      <c r="A66" s="11" t="s">
        <v>172</v>
      </c>
      <c r="C66" s="12" t="s">
        <v>445</v>
      </c>
      <c r="E66" s="4">
        <v>42277.622916666667</v>
      </c>
      <c r="F66" s="12" t="s">
        <v>380</v>
      </c>
      <c r="G66" s="11" t="s">
        <v>21</v>
      </c>
      <c r="I66" s="11" t="str">
        <f>HYPERLINK("RMS Survey MB-67-Sign_Photo.JPG","RMS Survey MB-67-Sign_Photo")</f>
        <v>RMS Survey MB-67-Sign_Photo</v>
      </c>
      <c r="J66" s="11" t="str">
        <f>HYPERLINK("RMS Survey MB-67-Location_Photo.JPG","RMS Survey MB-67-Location_Photo")</f>
        <v>RMS Survey MB-67-Location_Photo</v>
      </c>
      <c r="K66" s="11" t="s">
        <v>20</v>
      </c>
      <c r="L66" s="11" t="s">
        <v>20</v>
      </c>
      <c r="M66" s="11" t="s">
        <v>20</v>
      </c>
    </row>
    <row r="67" spans="1:13" x14ac:dyDescent="0.25">
      <c r="A67" s="11" t="s">
        <v>173</v>
      </c>
      <c r="C67" s="12" t="s">
        <v>446</v>
      </c>
      <c r="E67" s="4">
        <v>42277.623611111114</v>
      </c>
      <c r="F67" s="12" t="s">
        <v>380</v>
      </c>
      <c r="G67" s="11" t="s">
        <v>21</v>
      </c>
      <c r="I67" s="11" t="str">
        <f>HYPERLINK("RMS Survey MB-68-Sign_Photo.JPG","RMS Survey MB-68-Sign_Photo")</f>
        <v>RMS Survey MB-68-Sign_Photo</v>
      </c>
      <c r="J67" s="11" t="str">
        <f>HYPERLINK("RMS Survey MB-68-Location_Photo.JPG","RMS Survey MB-68-Location_Photo")</f>
        <v>RMS Survey MB-68-Location_Photo</v>
      </c>
      <c r="K67" s="11" t="s">
        <v>20</v>
      </c>
      <c r="L67" s="11" t="s">
        <v>20</v>
      </c>
      <c r="M67" s="11" t="s">
        <v>20</v>
      </c>
    </row>
    <row r="68" spans="1:13" x14ac:dyDescent="0.25">
      <c r="A68" s="11" t="s">
        <v>174</v>
      </c>
      <c r="C68" s="12" t="s">
        <v>447</v>
      </c>
      <c r="E68" s="4">
        <v>42277.625</v>
      </c>
      <c r="F68" s="12" t="s">
        <v>380</v>
      </c>
      <c r="G68" s="11" t="s">
        <v>21</v>
      </c>
      <c r="I68" s="11" t="str">
        <f>HYPERLINK("RMS Survey MB-69-Sign_Photo.JPG","RMS Survey MB-69-Sign_Photo")</f>
        <v>RMS Survey MB-69-Sign_Photo</v>
      </c>
      <c r="J68" s="11" t="str">
        <f>HYPERLINK("RMS Survey MB-69-Location_Photo.JPG","RMS Survey MB-69-Location_Photo")</f>
        <v>RMS Survey MB-69-Location_Photo</v>
      </c>
      <c r="K68" s="11" t="s">
        <v>20</v>
      </c>
      <c r="L68" s="11" t="s">
        <v>20</v>
      </c>
      <c r="M68" s="11" t="s">
        <v>20</v>
      </c>
    </row>
    <row r="69" spans="1:13" x14ac:dyDescent="0.25">
      <c r="A69" s="11" t="s">
        <v>176</v>
      </c>
      <c r="C69" s="12" t="s">
        <v>448</v>
      </c>
      <c r="E69" s="4">
        <v>42277.626388888886</v>
      </c>
      <c r="F69" s="12" t="s">
        <v>380</v>
      </c>
      <c r="G69" s="11" t="s">
        <v>21</v>
      </c>
      <c r="I69" s="11" t="str">
        <f>HYPERLINK("RMS Survey MB-70-Sign_Photo.JPG","RMS Survey MB-70-Sign_Photo")</f>
        <v>RMS Survey MB-70-Sign_Photo</v>
      </c>
      <c r="J69" s="11" t="str">
        <f>HYPERLINK("RMS Survey MB-70-Location_Photo.JPG","RMS Survey MB-70-Location_Photo")</f>
        <v>RMS Survey MB-70-Location_Photo</v>
      </c>
      <c r="K69" s="11" t="s">
        <v>20</v>
      </c>
      <c r="L69" s="11" t="s">
        <v>20</v>
      </c>
      <c r="M69" s="11" t="s">
        <v>20</v>
      </c>
    </row>
    <row r="70" spans="1:13" x14ac:dyDescent="0.25">
      <c r="A70" s="11" t="s">
        <v>177</v>
      </c>
      <c r="C70" s="12" t="s">
        <v>449</v>
      </c>
      <c r="E70" s="4">
        <v>42277.627083333333</v>
      </c>
      <c r="F70" s="12" t="s">
        <v>380</v>
      </c>
      <c r="G70" s="11" t="s">
        <v>21</v>
      </c>
      <c r="I70" s="11" t="str">
        <f>HYPERLINK("RMS Survey MB-71-Sign_Photo.JPG","RMS Survey MB-71-Sign_Photo")</f>
        <v>RMS Survey MB-71-Sign_Photo</v>
      </c>
      <c r="J70" s="11" t="str">
        <f>HYPERLINK("RMS Survey MB-71-Location_Photo.JPG","RMS Survey MB-71-Location_Photo")</f>
        <v>RMS Survey MB-71-Location_Photo</v>
      </c>
      <c r="K70" s="11" t="s">
        <v>20</v>
      </c>
      <c r="L70" s="11" t="s">
        <v>20</v>
      </c>
      <c r="M70" s="11" t="s">
        <v>20</v>
      </c>
    </row>
    <row r="71" spans="1:13" x14ac:dyDescent="0.25">
      <c r="A71" s="11" t="s">
        <v>178</v>
      </c>
      <c r="C71" s="12" t="s">
        <v>450</v>
      </c>
      <c r="E71" s="4">
        <v>42277.629166666666</v>
      </c>
      <c r="F71" s="12" t="s">
        <v>380</v>
      </c>
      <c r="G71" s="11" t="s">
        <v>21</v>
      </c>
      <c r="I71" s="11" t="str">
        <f>HYPERLINK("RMS Survey MB-72-Sign_Photo.JPG","RMS Survey MB-72-Sign_Photo")</f>
        <v>RMS Survey MB-72-Sign_Photo</v>
      </c>
      <c r="J71" s="11" t="str">
        <f>HYPERLINK("RMS Survey MB-72-Location_Photo.JPG","RMS Survey MB-72-Location_Photo")</f>
        <v>RMS Survey MB-72-Location_Photo</v>
      </c>
      <c r="K71" s="11" t="s">
        <v>20</v>
      </c>
      <c r="L71" s="11" t="s">
        <v>20</v>
      </c>
      <c r="M71" s="11" t="s">
        <v>20</v>
      </c>
    </row>
    <row r="72" spans="1:13" x14ac:dyDescent="0.25">
      <c r="A72" s="11" t="s">
        <v>179</v>
      </c>
      <c r="C72" s="12" t="s">
        <v>451</v>
      </c>
      <c r="E72" s="4">
        <v>42277.630555555559</v>
      </c>
      <c r="F72" s="12" t="s">
        <v>380</v>
      </c>
      <c r="G72" s="11" t="s">
        <v>21</v>
      </c>
      <c r="I72" s="11" t="str">
        <f>HYPERLINK("RMS Survey MB-73-Sign_Photo.JPG","RMS Survey MB-73-Sign_Photo")</f>
        <v>RMS Survey MB-73-Sign_Photo</v>
      </c>
      <c r="J72" s="11" t="str">
        <f>HYPERLINK("RMS Survey MB-73-Location_Photo.JPG","RMS Survey MB-73-Location_Photo")</f>
        <v>RMS Survey MB-73-Location_Photo</v>
      </c>
      <c r="K72" s="11" t="s">
        <v>20</v>
      </c>
      <c r="L72" s="11" t="s">
        <v>20</v>
      </c>
      <c r="M72" s="11" t="s">
        <v>20</v>
      </c>
    </row>
    <row r="73" spans="1:13" x14ac:dyDescent="0.25">
      <c r="A73" s="11" t="s">
        <v>181</v>
      </c>
      <c r="C73" s="12" t="s">
        <v>452</v>
      </c>
      <c r="D73" s="12">
        <v>0</v>
      </c>
      <c r="E73" s="4">
        <v>42277.616666666669</v>
      </c>
      <c r="F73" s="12" t="s">
        <v>380</v>
      </c>
      <c r="G73" s="11" t="s">
        <v>21</v>
      </c>
      <c r="I73" s="11" t="str">
        <f>HYPERLINK("N3_NW0074-Sign_Photo30.09.15.JPG","N3_NW0074-Sign_Photo30.09.15")</f>
        <v>N3_NW0074-Sign_Photo30.09.15</v>
      </c>
      <c r="J73" s="11" t="str">
        <f>HYPERLINK("N3_NW0074-Location_Photo30.09.15.JPG","N3_NW0074-Location_Photo30.09.15")</f>
        <v>N3_NW0074-Location_Photo30.09.15</v>
      </c>
      <c r="K73" s="11" t="s">
        <v>51</v>
      </c>
      <c r="L73" s="11" t="s">
        <v>20</v>
      </c>
      <c r="M73" s="11" t="s">
        <v>20</v>
      </c>
    </row>
    <row r="74" spans="1:13" x14ac:dyDescent="0.25">
      <c r="A74" s="11" t="s">
        <v>182</v>
      </c>
      <c r="C74" s="12" t="s">
        <v>453</v>
      </c>
      <c r="E74" s="4">
        <v>42277.65347222222</v>
      </c>
      <c r="F74" s="12" t="s">
        <v>380</v>
      </c>
      <c r="G74" s="11" t="s">
        <v>21</v>
      </c>
      <c r="I74" s="11" t="str">
        <f>HYPERLINK("RMS Survey MB-76-Sign_Photo.JPG","RMS Survey MB-76-Sign_Photo")</f>
        <v>RMS Survey MB-76-Sign_Photo</v>
      </c>
      <c r="J74" s="11" t="str">
        <f>HYPERLINK("RMS Survey MB-76-Location_Photo.JPG","RMS Survey MB-76-Location_Photo")</f>
        <v>RMS Survey MB-76-Location_Photo</v>
      </c>
      <c r="K74" s="11" t="s">
        <v>20</v>
      </c>
      <c r="L74" s="11" t="s">
        <v>20</v>
      </c>
      <c r="M74" s="11" t="s">
        <v>20</v>
      </c>
    </row>
    <row r="75" spans="1:13" x14ac:dyDescent="0.25">
      <c r="A75" s="11" t="s">
        <v>183</v>
      </c>
      <c r="C75" s="12" t="s">
        <v>454</v>
      </c>
      <c r="E75" s="4">
        <v>42277.65</v>
      </c>
      <c r="F75" s="12" t="s">
        <v>380</v>
      </c>
      <c r="G75" s="11" t="s">
        <v>21</v>
      </c>
      <c r="I75" s="11" t="str">
        <f>HYPERLINK("RMS Survey MB-77-Sign_Photo.JPG","RMS Survey MB-77-Sign_Photo")</f>
        <v>RMS Survey MB-77-Sign_Photo</v>
      </c>
      <c r="J75" s="11" t="str">
        <f>HYPERLINK("RMS Survey MB-77-Location_Photo.JPG","RMS Survey MB-77-Location_Photo")</f>
        <v>RMS Survey MB-77-Location_Photo</v>
      </c>
      <c r="K75" s="11" t="s">
        <v>38</v>
      </c>
      <c r="L75" s="11" t="s">
        <v>20</v>
      </c>
      <c r="M75" s="11" t="s">
        <v>20</v>
      </c>
    </row>
    <row r="76" spans="1:13" x14ac:dyDescent="0.25">
      <c r="A76" s="11" t="s">
        <v>184</v>
      </c>
      <c r="C76" s="12" t="s">
        <v>455</v>
      </c>
      <c r="D76" s="12">
        <v>0</v>
      </c>
      <c r="E76" s="4">
        <v>42277.622916666667</v>
      </c>
      <c r="F76" s="12" t="s">
        <v>380</v>
      </c>
      <c r="G76" s="11" t="s">
        <v>21</v>
      </c>
      <c r="I76" s="11" t="str">
        <f>HYPERLINK("N3_NW0077-Sign_Photo30.09.15.JPG","N3_NW0077-Sign_Photo30.09.15")</f>
        <v>N3_NW0077-Sign_Photo30.09.15</v>
      </c>
      <c r="J76" s="11" t="str">
        <f>HYPERLINK("N3_NW0077-Location_Photo30.09.15.JPG","N3_NW0077-Location_Photo30.09.15")</f>
        <v>N3_NW0077-Location_Photo30.09.15</v>
      </c>
      <c r="K76" s="11" t="s">
        <v>51</v>
      </c>
      <c r="L76" s="11" t="s">
        <v>20</v>
      </c>
      <c r="M76" s="11" t="s">
        <v>33</v>
      </c>
    </row>
    <row r="77" spans="1:13" x14ac:dyDescent="0.25">
      <c r="A77" s="11" t="s">
        <v>186</v>
      </c>
      <c r="C77" s="12" t="s">
        <v>456</v>
      </c>
      <c r="D77" s="12">
        <v>0</v>
      </c>
      <c r="E77" s="4">
        <v>42277.619444444441</v>
      </c>
      <c r="F77" s="12" t="s">
        <v>380</v>
      </c>
      <c r="G77" s="11" t="s">
        <v>21</v>
      </c>
      <c r="I77" s="11" t="str">
        <f>HYPERLINK("N3_NW0078-Sign_Photo30.09.15.JPG","N3_NW0078-Sign_Photo30.09.15")</f>
        <v>N3_NW0078-Sign_Photo30.09.15</v>
      </c>
      <c r="J77" s="11" t="str">
        <f>HYPERLINK("N3_NW0078-Location_Photo30.09.15.JPG","N3_NW0078-Location_Photo30.09.15")</f>
        <v>N3_NW0078-Location_Photo30.09.15</v>
      </c>
      <c r="K77" s="11" t="s">
        <v>51</v>
      </c>
      <c r="L77" s="11" t="s">
        <v>20</v>
      </c>
      <c r="M77" s="11" t="s">
        <v>20</v>
      </c>
    </row>
    <row r="78" spans="1:13" x14ac:dyDescent="0.25">
      <c r="A78" s="11" t="s">
        <v>188</v>
      </c>
      <c r="C78" s="12" t="s">
        <v>457</v>
      </c>
      <c r="D78" s="12">
        <v>0</v>
      </c>
      <c r="E78" s="4">
        <v>42277.628472222219</v>
      </c>
      <c r="F78" s="12" t="s">
        <v>380</v>
      </c>
      <c r="G78" s="11" t="s">
        <v>21</v>
      </c>
      <c r="I78" s="11" t="str">
        <f>HYPERLINK("N3_NW0079-Sign_Photo30.09.15.JPG","N3_NW0079-Sign_Photo30.09.15")</f>
        <v>N3_NW0079-Sign_Photo30.09.15</v>
      </c>
      <c r="J78" s="11" t="str">
        <f>HYPERLINK("N3_NW0079-Location_Photo30.09.15.JPG","N3_NW0079-Location_Photo30.09.15")</f>
        <v>N3_NW0079-Location_Photo30.09.15</v>
      </c>
      <c r="K78" s="11" t="s">
        <v>51</v>
      </c>
      <c r="L78" s="11" t="s">
        <v>20</v>
      </c>
      <c r="M78" s="11" t="s">
        <v>33</v>
      </c>
    </row>
    <row r="79" spans="1:13" x14ac:dyDescent="0.25">
      <c r="A79" s="11" t="s">
        <v>191</v>
      </c>
      <c r="C79" s="12" t="s">
        <v>458</v>
      </c>
      <c r="D79" s="12">
        <v>0</v>
      </c>
      <c r="E79" s="4">
        <v>42277.660416666666</v>
      </c>
      <c r="F79" s="12" t="s">
        <v>380</v>
      </c>
      <c r="G79" s="11" t="s">
        <v>21</v>
      </c>
      <c r="I79" s="11" t="str">
        <f>HYPERLINK("N3_NW0079-1-Sign_Photo30.09.15.JPG","N3_NW0079-1-Sign_Photo30.09.15")</f>
        <v>N3_NW0079-1-Sign_Photo30.09.15</v>
      </c>
      <c r="J79" s="11" t="str">
        <f>HYPERLINK("N3_NW0079-1-Location_Photo30.09.15.JPG","N3_NW0079-1-Location_Photo30.09.15")</f>
        <v>N3_NW0079-1-Location_Photo30.09.15</v>
      </c>
      <c r="K79" s="11" t="s">
        <v>51</v>
      </c>
      <c r="L79" s="11" t="s">
        <v>20</v>
      </c>
      <c r="M79" s="11" t="s">
        <v>33</v>
      </c>
    </row>
    <row r="80" spans="1:13" x14ac:dyDescent="0.25">
      <c r="A80" s="11" t="s">
        <v>193</v>
      </c>
      <c r="C80" s="12" t="s">
        <v>459</v>
      </c>
      <c r="D80" s="12">
        <v>0</v>
      </c>
      <c r="E80" s="4">
        <v>42277.632638888892</v>
      </c>
      <c r="F80" s="12" t="s">
        <v>380</v>
      </c>
      <c r="G80" s="11" t="s">
        <v>21</v>
      </c>
      <c r="I80" s="11" t="str">
        <f>HYPERLINK("N3_NW0080-Sign_Photo30.09.15.JPG","N3_NW0080-Sign_Photo30.09.15")</f>
        <v>N3_NW0080-Sign_Photo30.09.15</v>
      </c>
      <c r="J80" s="11" t="str">
        <f>HYPERLINK("N3_NW0080-Location_Photo30.09.15.JPG","N3_NW0080-Location_Photo30.09.15")</f>
        <v>N3_NW0080-Location_Photo30.09.15</v>
      </c>
      <c r="K80" s="11" t="s">
        <v>51</v>
      </c>
      <c r="L80" s="11" t="s">
        <v>20</v>
      </c>
      <c r="M80" s="11" t="s">
        <v>33</v>
      </c>
    </row>
    <row r="81" spans="1:13" x14ac:dyDescent="0.25">
      <c r="A81" s="11" t="s">
        <v>194</v>
      </c>
      <c r="C81" s="12" t="s">
        <v>460</v>
      </c>
      <c r="D81" s="12">
        <v>0</v>
      </c>
      <c r="E81" s="4">
        <v>42277.65625</v>
      </c>
      <c r="F81" s="12" t="s">
        <v>380</v>
      </c>
      <c r="G81" s="11" t="s">
        <v>21</v>
      </c>
      <c r="I81" s="11" t="str">
        <f>HYPERLINK("N3_NW0081-Sign_Photo30.09.15.JPG","N3_NW0081-Sign_Photo30.09.15")</f>
        <v>N3_NW0081-Sign_Photo30.09.15</v>
      </c>
      <c r="J81" s="11" t="str">
        <f>HYPERLINK("N3_NW0081-Location_Photo30.09.15.JPG","N3_NW0081-Location_Photo30.09.15")</f>
        <v>N3_NW0081-Location_Photo30.09.15</v>
      </c>
      <c r="K81" s="11" t="s">
        <v>51</v>
      </c>
      <c r="L81" s="11" t="s">
        <v>20</v>
      </c>
      <c r="M81" s="11" t="s">
        <v>33</v>
      </c>
    </row>
    <row r="82" spans="1:13" x14ac:dyDescent="0.25">
      <c r="A82" s="11" t="s">
        <v>198</v>
      </c>
      <c r="C82" s="12" t="s">
        <v>461</v>
      </c>
      <c r="D82" s="12">
        <v>0</v>
      </c>
      <c r="E82" s="4">
        <v>42277.667361111111</v>
      </c>
      <c r="F82" s="12" t="s">
        <v>380</v>
      </c>
      <c r="G82" s="11" t="s">
        <v>21</v>
      </c>
      <c r="I82" s="11" t="str">
        <f>HYPERLINK("N3_NW0082-Sign_Photo30.09.15.JPG","N3_NW0082-Sign_Photo30.09.15")</f>
        <v>N3_NW0082-Sign_Photo30.09.15</v>
      </c>
      <c r="J82" s="11" t="str">
        <f>HYPERLINK("N3_NW0082-Location_Photo30.09.15.JPG","N3_NW0082-Location_Photo30.09.15")</f>
        <v>N3_NW0082-Location_Photo30.09.15</v>
      </c>
      <c r="K82" s="11" t="s">
        <v>51</v>
      </c>
      <c r="L82" s="11" t="s">
        <v>20</v>
      </c>
      <c r="M82" s="11" t="s">
        <v>20</v>
      </c>
    </row>
    <row r="83" spans="1:13" x14ac:dyDescent="0.25">
      <c r="A83" s="11" t="s">
        <v>200</v>
      </c>
      <c r="C83" s="12" t="s">
        <v>462</v>
      </c>
      <c r="D83" s="12">
        <v>0</v>
      </c>
      <c r="E83" s="4">
        <v>42277.678472222222</v>
      </c>
      <c r="F83" s="12" t="s">
        <v>380</v>
      </c>
      <c r="G83" s="11" t="s">
        <v>21</v>
      </c>
      <c r="I83" s="11" t="str">
        <f>HYPERLINK("N3_NW0083-Sign_Photo30.09.15.JPG","N3_NW0083-Sign_Photo30.09.15")</f>
        <v>N3_NW0083-Sign_Photo30.09.15</v>
      </c>
      <c r="J83" s="11" t="str">
        <f>HYPERLINK("N3_NW0083-Location_Photo30.09.15.JPG","N3_NW0083-Location_Photo30.09.15")</f>
        <v>N3_NW0083-Location_Photo30.09.15</v>
      </c>
      <c r="K83" s="11" t="s">
        <v>51</v>
      </c>
      <c r="L83" s="11" t="s">
        <v>20</v>
      </c>
      <c r="M83" s="11" t="s">
        <v>33</v>
      </c>
    </row>
    <row r="84" spans="1:13" x14ac:dyDescent="0.25">
      <c r="A84" s="11" t="s">
        <v>203</v>
      </c>
      <c r="C84" s="12" t="s">
        <v>463</v>
      </c>
      <c r="D84" s="12">
        <v>0</v>
      </c>
      <c r="E84" s="4">
        <v>42277.682638888888</v>
      </c>
      <c r="F84" s="12" t="s">
        <v>380</v>
      </c>
      <c r="G84" s="11" t="s">
        <v>21</v>
      </c>
      <c r="I84" s="11" t="str">
        <f>HYPERLINK("N3_NW0084-1-Sign_Photo30.09.15.JPG","N3_NW0084-1-Sign_Photo30.09.15")</f>
        <v>N3_NW0084-1-Sign_Photo30.09.15</v>
      </c>
      <c r="J84" s="11" t="str">
        <f>HYPERLINK("N3_NW0084-1-Location_Photo30.09.15.JPG","N3_NW0084-1-Location_Photo30.09.15")</f>
        <v>N3_NW0084-1-Location_Photo30.09.15</v>
      </c>
      <c r="K84" s="11" t="s">
        <v>51</v>
      </c>
      <c r="L84" s="11" t="s">
        <v>20</v>
      </c>
      <c r="M84" s="11" t="s">
        <v>33</v>
      </c>
    </row>
    <row r="85" spans="1:13" x14ac:dyDescent="0.25">
      <c r="A85" s="11" t="s">
        <v>204</v>
      </c>
      <c r="C85" s="12" t="s">
        <v>464</v>
      </c>
      <c r="D85" s="12">
        <v>2</v>
      </c>
      <c r="E85" s="4">
        <v>42277.6875</v>
      </c>
      <c r="F85" s="12" t="s">
        <v>380</v>
      </c>
      <c r="G85" s="11" t="s">
        <v>21</v>
      </c>
      <c r="I85" s="11" t="str">
        <f>HYPERLINK("N3_NW0085-Sign_Photo30.09.15.JPG","N3_NW0085-Sign_Photo30.09.15")</f>
        <v>N3_NW0085-Sign_Photo30.09.15</v>
      </c>
      <c r="J85" s="11" t="str">
        <f>HYPERLINK("N3_NW0085-Location_Photo30.09.15.JPG","N3_NW0085-Location_Photo30.09.15")</f>
        <v>N3_NW0085-Location_Photo30.09.15</v>
      </c>
      <c r="K85" s="11" t="s">
        <v>205</v>
      </c>
      <c r="L85" s="11" t="s">
        <v>20</v>
      </c>
      <c r="M85" s="11" t="s">
        <v>33</v>
      </c>
    </row>
    <row r="86" spans="1:13" x14ac:dyDescent="0.25">
      <c r="A86" s="11" t="s">
        <v>206</v>
      </c>
      <c r="C86" s="12" t="s">
        <v>465</v>
      </c>
      <c r="D86" s="12">
        <v>0</v>
      </c>
      <c r="E86" s="4">
        <v>42277.69027777778</v>
      </c>
      <c r="F86" s="12" t="s">
        <v>380</v>
      </c>
      <c r="G86" s="11" t="s">
        <v>21</v>
      </c>
      <c r="I86" s="11" t="str">
        <f>HYPERLINK("N3_NW0086-Sign_Photo30.09.15.JPG","N3_NW0086-Sign_Photo30.09.15")</f>
        <v>N3_NW0086-Sign_Photo30.09.15</v>
      </c>
      <c r="J86" s="11" t="str">
        <f>HYPERLINK("N3_NW0086-Location_Photo30.09.15.JPG","N3_NW0086-Location_Photo30.09.15")</f>
        <v>N3_NW0086-Location_Photo30.09.15</v>
      </c>
      <c r="K86" s="11" t="s">
        <v>51</v>
      </c>
      <c r="L86" s="11" t="s">
        <v>20</v>
      </c>
      <c r="M86" s="11" t="s">
        <v>33</v>
      </c>
    </row>
    <row r="87" spans="1:13" x14ac:dyDescent="0.25">
      <c r="A87" s="11" t="s">
        <v>208</v>
      </c>
      <c r="C87" s="12" t="s">
        <v>466</v>
      </c>
      <c r="D87" s="12">
        <v>2</v>
      </c>
      <c r="E87" s="4">
        <v>42277.6875</v>
      </c>
      <c r="F87" s="12" t="s">
        <v>380</v>
      </c>
      <c r="G87" s="11" t="s">
        <v>21</v>
      </c>
      <c r="I87" s="11" t="str">
        <f>HYPERLINK("RMS Survey MB-90-Sign_Photo.JPG","RMS Survey MB-90-Sign_Photo")</f>
        <v>RMS Survey MB-90-Sign_Photo</v>
      </c>
      <c r="J87" s="11" t="str">
        <f>HYPERLINK("RMS Survey MB-90-Location_Photo.JPG","RMS Survey MB-90-Location_Photo")</f>
        <v>RMS Survey MB-90-Location_Photo</v>
      </c>
      <c r="K87" s="11" t="s">
        <v>84</v>
      </c>
      <c r="L87" s="11" t="s">
        <v>20</v>
      </c>
      <c r="M87" s="11" t="s">
        <v>20</v>
      </c>
    </row>
    <row r="88" spans="1:13" x14ac:dyDescent="0.25">
      <c r="A88" s="11" t="s">
        <v>209</v>
      </c>
      <c r="C88" s="12" t="s">
        <v>467</v>
      </c>
      <c r="E88" s="4">
        <v>42277.696527777778</v>
      </c>
      <c r="F88" s="12" t="s">
        <v>380</v>
      </c>
      <c r="G88" s="11" t="s">
        <v>21</v>
      </c>
      <c r="I88" s="11" t="str">
        <f>HYPERLINK("RMS Survey MB-91-Sign_Photo.JPG","RMS Survey MB-91-Sign_Photo")</f>
        <v>RMS Survey MB-91-Sign_Photo</v>
      </c>
      <c r="J88" s="11" t="str">
        <f>HYPERLINK("RMS Survey MB-91-Location_Photo.JPG","RMS Survey MB-91-Location_Photo")</f>
        <v>RMS Survey MB-91-Location_Photo</v>
      </c>
      <c r="K88" s="11" t="s">
        <v>20</v>
      </c>
      <c r="L88" s="11" t="s">
        <v>20</v>
      </c>
      <c r="M88" s="11" t="s">
        <v>20</v>
      </c>
    </row>
    <row r="89" spans="1:13" x14ac:dyDescent="0.25">
      <c r="A89" s="11" t="s">
        <v>210</v>
      </c>
      <c r="C89" s="12" t="s">
        <v>468</v>
      </c>
      <c r="E89" s="4">
        <v>42277.685416666667</v>
      </c>
      <c r="F89" s="12" t="s">
        <v>380</v>
      </c>
      <c r="G89" s="11" t="s">
        <v>21</v>
      </c>
      <c r="I89" s="11" t="str">
        <f>HYPERLINK("RMS Survey MB-92-Sign_Photo.JPG","RMS Survey MB-92-Sign_Photo")</f>
        <v>RMS Survey MB-92-Sign_Photo</v>
      </c>
      <c r="J89" s="11" t="str">
        <f>HYPERLINK("RMS Survey MB-92-Location_Photo.JPG","RMS Survey MB-92-Location_Photo")</f>
        <v>RMS Survey MB-92-Location_Photo</v>
      </c>
      <c r="K89" s="11" t="s">
        <v>20</v>
      </c>
      <c r="L89" s="11" t="s">
        <v>20</v>
      </c>
      <c r="M89" s="11" t="s">
        <v>20</v>
      </c>
    </row>
    <row r="90" spans="1:13" x14ac:dyDescent="0.25">
      <c r="A90" s="11" t="s">
        <v>211</v>
      </c>
      <c r="C90" s="12" t="s">
        <v>469</v>
      </c>
      <c r="E90" s="4">
        <v>42277.690972222219</v>
      </c>
      <c r="F90" s="12" t="s">
        <v>380</v>
      </c>
      <c r="G90" s="11" t="s">
        <v>21</v>
      </c>
      <c r="I90" s="11" t="str">
        <f>HYPERLINK("RMS Survey MB-93-Sign_Photo.JPG","RMS Survey MB-93-Sign_Photo")</f>
        <v>RMS Survey MB-93-Sign_Photo</v>
      </c>
      <c r="J90" s="11" t="str">
        <f>HYPERLINK("RMS Survey MB-93-Location_Photo.JPG","RMS Survey MB-93-Location_Photo")</f>
        <v>RMS Survey MB-93-Location_Photo</v>
      </c>
      <c r="K90" s="11" t="s">
        <v>20</v>
      </c>
      <c r="L90" s="11" t="s">
        <v>20</v>
      </c>
      <c r="M90" s="11" t="s">
        <v>20</v>
      </c>
    </row>
    <row r="91" spans="1:13" x14ac:dyDescent="0.25">
      <c r="A91" s="11" t="s">
        <v>213</v>
      </c>
      <c r="C91" s="12" t="s">
        <v>470</v>
      </c>
      <c r="E91" s="4">
        <v>42277.689583333333</v>
      </c>
      <c r="F91" s="12" t="s">
        <v>380</v>
      </c>
      <c r="G91" s="11" t="s">
        <v>21</v>
      </c>
      <c r="I91" s="11" t="str">
        <f>HYPERLINK("RMS Survey MB-94-Sign_Photo.JPG","RMS Survey MB-94-Sign_Photo")</f>
        <v>RMS Survey MB-94-Sign_Photo</v>
      </c>
      <c r="J91" s="11" t="str">
        <f>HYPERLINK("RMS Survey MB-94-Location_Photo.JPG","RMS Survey MB-94-Location_Photo")</f>
        <v>RMS Survey MB-94-Location_Photo</v>
      </c>
      <c r="K91" s="11" t="s">
        <v>20</v>
      </c>
      <c r="L91" s="11" t="s">
        <v>20</v>
      </c>
      <c r="M91" s="11" t="s">
        <v>20</v>
      </c>
    </row>
    <row r="92" spans="1:13" x14ac:dyDescent="0.25">
      <c r="A92" s="11" t="s">
        <v>215</v>
      </c>
      <c r="C92" s="12" t="s">
        <v>471</v>
      </c>
      <c r="E92" s="4">
        <v>42277.693055555559</v>
      </c>
      <c r="F92" s="12" t="s">
        <v>380</v>
      </c>
      <c r="G92" s="11" t="s">
        <v>21</v>
      </c>
      <c r="I92" s="11" t="str">
        <f>HYPERLINK("RMS Survey MB-95-Sign_Photo.JPG","RMS Survey MB-95-Sign_Photo")</f>
        <v>RMS Survey MB-95-Sign_Photo</v>
      </c>
      <c r="J92" s="11" t="str">
        <f>HYPERLINK("RMS Survey MB-95-Location_Photo.JPG","RMS Survey MB-95-Location_Photo")</f>
        <v>RMS Survey MB-95-Location_Photo</v>
      </c>
      <c r="K92" s="11" t="s">
        <v>20</v>
      </c>
      <c r="L92" s="11" t="s">
        <v>20</v>
      </c>
      <c r="M92" s="11" t="s">
        <v>20</v>
      </c>
    </row>
    <row r="93" spans="1:13" x14ac:dyDescent="0.25">
      <c r="A93" s="11" t="s">
        <v>217</v>
      </c>
      <c r="C93" s="12" t="s">
        <v>472</v>
      </c>
      <c r="D93" s="12">
        <v>0</v>
      </c>
      <c r="E93" s="4">
        <v>42277.696527777778</v>
      </c>
      <c r="F93" s="12" t="s">
        <v>380</v>
      </c>
      <c r="G93" s="11" t="s">
        <v>21</v>
      </c>
      <c r="I93" s="11" t="str">
        <f>HYPERLINK("N3_NW0093-Sign_Photo30.09.15.JPG","N3_NW0093-Sign_Photo30.09.15")</f>
        <v>N3_NW0093-Sign_Photo30.09.15</v>
      </c>
      <c r="J93" s="11" t="str">
        <f>HYPERLINK("N3_NW0093-Location_Photo30.09.15.JPG","N3_NW0093-Location_Photo30.09.15")</f>
        <v>N3_NW0093-Location_Photo30.09.15</v>
      </c>
      <c r="K93" s="11" t="s">
        <v>51</v>
      </c>
      <c r="L93" s="11" t="s">
        <v>20</v>
      </c>
      <c r="M93" s="11" t="s">
        <v>33</v>
      </c>
    </row>
    <row r="94" spans="1:13" x14ac:dyDescent="0.25">
      <c r="A94" s="11" t="s">
        <v>218</v>
      </c>
      <c r="C94" s="12" t="s">
        <v>473</v>
      </c>
      <c r="D94" s="12">
        <v>0</v>
      </c>
      <c r="E94" s="4">
        <v>42277.7</v>
      </c>
      <c r="F94" s="12" t="s">
        <v>380</v>
      </c>
      <c r="G94" s="11" t="s">
        <v>21</v>
      </c>
      <c r="I94" s="11" t="str">
        <f>HYPERLINK("N3_NW0094-Sign_Photo30.09.15.JPG","N3_NW0094-Sign_Photo30.09.15")</f>
        <v>N3_NW0094-Sign_Photo30.09.15</v>
      </c>
      <c r="J94" s="11" t="str">
        <f>HYPERLINK("N3_NW0094-Location_Photo30.09.15.JPG","N3_NW0094-Location_Photo30.09.15")</f>
        <v>N3_NW0094-Location_Photo30.09.15</v>
      </c>
      <c r="K94" s="11" t="s">
        <v>51</v>
      </c>
      <c r="L94" s="11" t="s">
        <v>20</v>
      </c>
      <c r="M94" s="11" t="s">
        <v>33</v>
      </c>
    </row>
    <row r="95" spans="1:13" x14ac:dyDescent="0.25">
      <c r="A95" s="11" t="s">
        <v>219</v>
      </c>
      <c r="C95" s="12" t="s">
        <v>474</v>
      </c>
      <c r="D95" s="12">
        <v>0</v>
      </c>
      <c r="E95" s="4">
        <v>42277.70416666667</v>
      </c>
      <c r="F95" s="12" t="s">
        <v>380</v>
      </c>
      <c r="G95" s="11" t="s">
        <v>21</v>
      </c>
      <c r="I95" s="11" t="str">
        <f>HYPERLINK("N3_NW0095-Sign_Photo30.09.15.JPG","N3_NW0095-Sign_Photo30.09.15")</f>
        <v>N3_NW0095-Sign_Photo30.09.15</v>
      </c>
      <c r="J95" s="11" t="str">
        <f>HYPERLINK("N3_NW0095-Location_Photo30.09.15.JPG","N3_NW0095-Location_Photo30.09.15")</f>
        <v>N3_NW0095-Location_Photo30.09.15</v>
      </c>
      <c r="K95" s="11" t="s">
        <v>51</v>
      </c>
      <c r="L95" s="11" t="s">
        <v>20</v>
      </c>
      <c r="M95" s="11" t="s">
        <v>33</v>
      </c>
    </row>
    <row r="96" spans="1:13" x14ac:dyDescent="0.25">
      <c r="A96" s="11" t="s">
        <v>222</v>
      </c>
      <c r="C96" s="12" t="s">
        <v>475</v>
      </c>
      <c r="D96" s="12">
        <v>3</v>
      </c>
      <c r="E96" s="4">
        <v>42278.581944444442</v>
      </c>
      <c r="F96" s="12" t="s">
        <v>380</v>
      </c>
      <c r="G96" s="11" t="s">
        <v>21</v>
      </c>
      <c r="I96" s="11" t="str">
        <f>HYPERLINK("RMS Survey MB-101-Sign_Photo.JPG","RMS Survey MB-101-Sign_Photo")</f>
        <v>RMS Survey MB-101-Sign_Photo</v>
      </c>
      <c r="J96" s="11" t="str">
        <f>HYPERLINK("RMS Survey MB-101-Location_Photo.JPG","RMS Survey MB-101-Location_Photo")</f>
        <v>RMS Survey MB-101-Location_Photo</v>
      </c>
      <c r="K96" s="11" t="s">
        <v>224</v>
      </c>
      <c r="L96" s="11" t="s">
        <v>20</v>
      </c>
      <c r="M96" s="11" t="s">
        <v>225</v>
      </c>
    </row>
    <row r="97" spans="1:13" x14ac:dyDescent="0.25">
      <c r="A97" s="11" t="s">
        <v>226</v>
      </c>
      <c r="C97" s="12" t="s">
        <v>476</v>
      </c>
      <c r="D97" s="12">
        <v>3</v>
      </c>
      <c r="E97" s="4">
        <v>42278.579861111109</v>
      </c>
      <c r="F97" s="12" t="s">
        <v>380</v>
      </c>
      <c r="G97" s="11" t="s">
        <v>21</v>
      </c>
      <c r="I97" s="11" t="str">
        <f>HYPERLINK("RMS Survey MB-102-Sign_Photo.JPG","RMS Survey MB-102-Sign_Photo")</f>
        <v>RMS Survey MB-102-Sign_Photo</v>
      </c>
      <c r="J97" s="11" t="str">
        <f>HYPERLINK("RMS Survey MB-102-Location_Photo.JPG","RMS Survey MB-102-Location_Photo")</f>
        <v>RMS Survey MB-102-Location_Photo</v>
      </c>
      <c r="K97" s="11" t="s">
        <v>224</v>
      </c>
      <c r="L97" s="11" t="s">
        <v>20</v>
      </c>
      <c r="M97" s="11" t="s">
        <v>225</v>
      </c>
    </row>
    <row r="98" spans="1:13" x14ac:dyDescent="0.25">
      <c r="A98" s="11" t="s">
        <v>228</v>
      </c>
      <c r="C98" s="12" t="s">
        <v>477</v>
      </c>
      <c r="D98" s="12">
        <v>3</v>
      </c>
      <c r="E98" s="4">
        <v>42278.57708333333</v>
      </c>
      <c r="F98" s="12" t="s">
        <v>380</v>
      </c>
      <c r="G98" s="11" t="s">
        <v>21</v>
      </c>
      <c r="I98" s="11" t="str">
        <f>HYPERLINK("RMS Survey MB-103-Sign_Photo.JPG","RMS Survey MB-103-Sign_Photo")</f>
        <v>RMS Survey MB-103-Sign_Photo</v>
      </c>
      <c r="J98" s="11" t="str">
        <f>HYPERLINK("RMS Survey MB-103-Location_Photo.JPG","RMS Survey MB-103-Location_Photo")</f>
        <v>RMS Survey MB-103-Location_Photo</v>
      </c>
      <c r="K98" s="11" t="s">
        <v>224</v>
      </c>
      <c r="L98" s="11" t="s">
        <v>20</v>
      </c>
      <c r="M98" s="11" t="s">
        <v>225</v>
      </c>
    </row>
    <row r="99" spans="1:13" x14ac:dyDescent="0.25">
      <c r="A99" s="11" t="s">
        <v>230</v>
      </c>
      <c r="C99" s="12" t="s">
        <v>478</v>
      </c>
      <c r="D99" s="12">
        <v>3</v>
      </c>
      <c r="E99" s="4">
        <v>42278.573611111111</v>
      </c>
      <c r="F99" s="12" t="s">
        <v>380</v>
      </c>
      <c r="G99" s="11" t="s">
        <v>21</v>
      </c>
      <c r="I99" s="11" t="str">
        <f>HYPERLINK("RMS Survey MB-104-Sign_Photo.JPG","RMS Survey MB-104-Sign_Photo")</f>
        <v>RMS Survey MB-104-Sign_Photo</v>
      </c>
      <c r="J99" s="11" t="str">
        <f>HYPERLINK("RMS Survey MB-104-Location_Photo.JPG","RMS Survey MB-104-Location_Photo")</f>
        <v>RMS Survey MB-104-Location_Photo</v>
      </c>
      <c r="K99" s="11" t="s">
        <v>224</v>
      </c>
      <c r="L99" s="11" t="s">
        <v>20</v>
      </c>
      <c r="M99" s="11" t="s">
        <v>225</v>
      </c>
    </row>
    <row r="100" spans="1:13" x14ac:dyDescent="0.25">
      <c r="A100" s="11" t="s">
        <v>231</v>
      </c>
      <c r="C100" s="12" t="s">
        <v>479</v>
      </c>
      <c r="E100" s="4">
        <v>42278.407638888886</v>
      </c>
      <c r="F100" s="12" t="s">
        <v>380</v>
      </c>
      <c r="G100" s="11" t="s">
        <v>21</v>
      </c>
      <c r="I100" s="11" t="str">
        <f>HYPERLINK("RMS Survey MB-105-Sign_Photo.JPG","RMS Survey MB-105-Sign_Photo")</f>
        <v>RMS Survey MB-105-Sign_Photo</v>
      </c>
      <c r="J100" s="11" t="str">
        <f>HYPERLINK("RMS Survey MB-105-Location_Photo.JPG","RMS Survey MB-105-Location_Photo")</f>
        <v>RMS Survey MB-105-Location_Photo</v>
      </c>
      <c r="K100" s="11" t="s">
        <v>20</v>
      </c>
      <c r="L100" s="11" t="s">
        <v>20</v>
      </c>
      <c r="M100" s="11" t="s">
        <v>20</v>
      </c>
    </row>
    <row r="101" spans="1:13" x14ac:dyDescent="0.25">
      <c r="A101" s="11" t="s">
        <v>234</v>
      </c>
      <c r="C101" s="12" t="s">
        <v>480</v>
      </c>
      <c r="E101" s="4">
        <v>42278.413888888892</v>
      </c>
      <c r="F101" s="12" t="s">
        <v>380</v>
      </c>
      <c r="G101" s="11" t="s">
        <v>21</v>
      </c>
      <c r="I101" s="11" t="str">
        <f>HYPERLINK("RMS Survey MB-106-Sign_Photo.JPG","RMS Survey MB-106-Sign_Photo")</f>
        <v>RMS Survey MB-106-Sign_Photo</v>
      </c>
      <c r="J101" s="11" t="str">
        <f>HYPERLINK("RMS Survey MB-106-Location_Photo.JPG","RMS Survey MB-106-Location_Photo")</f>
        <v>RMS Survey MB-106-Location_Photo</v>
      </c>
      <c r="K101" s="11" t="s">
        <v>20</v>
      </c>
      <c r="L101" s="11" t="s">
        <v>20</v>
      </c>
      <c r="M101" s="11" t="s">
        <v>20</v>
      </c>
    </row>
    <row r="102" spans="1:13" x14ac:dyDescent="0.25">
      <c r="A102" s="11" t="s">
        <v>236</v>
      </c>
      <c r="C102" s="12" t="s">
        <v>481</v>
      </c>
      <c r="D102" s="12">
        <v>3</v>
      </c>
      <c r="E102" s="4">
        <v>42278.416666666664</v>
      </c>
      <c r="F102" s="12" t="s">
        <v>380</v>
      </c>
      <c r="G102" s="11" t="s">
        <v>21</v>
      </c>
      <c r="I102" s="11" t="str">
        <f>HYPERLINK("RMS Survey MB-107-Sign_Photo.JPG","RMS Survey MB-107-Sign_Photo")</f>
        <v>RMS Survey MB-107-Sign_Photo</v>
      </c>
      <c r="J102" s="11" t="str">
        <f>HYPERLINK("RMS Survey MB-107-Location_Photo.JPG","RMS Survey MB-107-Location_Photo")</f>
        <v>RMS Survey MB-107-Location_Photo</v>
      </c>
      <c r="K102" s="11" t="s">
        <v>224</v>
      </c>
      <c r="L102" s="11" t="s">
        <v>20</v>
      </c>
      <c r="M102" s="11" t="s">
        <v>225</v>
      </c>
    </row>
    <row r="103" spans="1:13" x14ac:dyDescent="0.25">
      <c r="A103" s="11" t="s">
        <v>237</v>
      </c>
      <c r="C103" s="12" t="s">
        <v>482</v>
      </c>
      <c r="D103" s="12">
        <v>3</v>
      </c>
      <c r="E103" s="4">
        <v>42278.42083333333</v>
      </c>
      <c r="F103" s="12" t="s">
        <v>380</v>
      </c>
      <c r="G103" s="11" t="s">
        <v>21</v>
      </c>
      <c r="I103" s="11" t="str">
        <f>HYPERLINK("RMS Survey MB-108-Sign_Photo.JPG","RMS Survey MB-108-Sign_Photo")</f>
        <v>RMS Survey MB-108-Sign_Photo</v>
      </c>
      <c r="J103" s="11" t="str">
        <f>HYPERLINK("RMS Survey MB-108-Location_Photo.JPG","RMS Survey MB-108-Location_Photo")</f>
        <v>RMS Survey MB-108-Location_Photo</v>
      </c>
      <c r="K103" s="11" t="s">
        <v>239</v>
      </c>
      <c r="L103" s="11" t="s">
        <v>20</v>
      </c>
      <c r="M103" s="11" t="s">
        <v>20</v>
      </c>
    </row>
    <row r="104" spans="1:13" x14ac:dyDescent="0.25">
      <c r="A104" s="11" t="s">
        <v>240</v>
      </c>
      <c r="C104" s="12" t="s">
        <v>483</v>
      </c>
      <c r="D104" s="12">
        <v>3</v>
      </c>
      <c r="E104" s="4">
        <v>42278.51458333333</v>
      </c>
      <c r="F104" s="12" t="s">
        <v>380</v>
      </c>
      <c r="G104" s="11" t="s">
        <v>21</v>
      </c>
      <c r="I104" s="11" t="str">
        <f>HYPERLINK("RMS Survey MB-109-Sign_Photo.JPG","RMS Survey MB-109-Sign_Photo")</f>
        <v>RMS Survey MB-109-Sign_Photo</v>
      </c>
      <c r="J104" s="11" t="str">
        <f>HYPERLINK("RMS Survey MB-109-Location_Photo.JPG","RMS Survey MB-109-Location_Photo")</f>
        <v>RMS Survey MB-109-Location_Photo</v>
      </c>
      <c r="K104" s="11" t="s">
        <v>224</v>
      </c>
      <c r="L104" s="11" t="s">
        <v>20</v>
      </c>
      <c r="M104" s="11" t="s">
        <v>225</v>
      </c>
    </row>
    <row r="105" spans="1:13" x14ac:dyDescent="0.25">
      <c r="A105" s="11" t="s">
        <v>242</v>
      </c>
      <c r="C105" s="12" t="s">
        <v>484</v>
      </c>
      <c r="D105" s="12">
        <v>3</v>
      </c>
      <c r="E105" s="4">
        <v>42278.51666666667</v>
      </c>
      <c r="F105" s="12" t="s">
        <v>380</v>
      </c>
      <c r="G105" s="11" t="s">
        <v>21</v>
      </c>
      <c r="I105" s="11" t="str">
        <f>HYPERLINK("RMS Survey MB-110-Sign_Photo.JPG","RMS Survey MB-110-Sign_Photo")</f>
        <v>RMS Survey MB-110-Sign_Photo</v>
      </c>
      <c r="J105" s="11" t="str">
        <f>HYPERLINK("RMS Survey MB-110-Location_Photo.JPG","RMS Survey MB-110-Location_Photo")</f>
        <v>RMS Survey MB-110-Location_Photo</v>
      </c>
      <c r="K105" s="11" t="s">
        <v>224</v>
      </c>
      <c r="L105" s="11" t="s">
        <v>243</v>
      </c>
      <c r="M105" s="11" t="s">
        <v>225</v>
      </c>
    </row>
    <row r="106" spans="1:13" x14ac:dyDescent="0.25">
      <c r="A106" s="11" t="s">
        <v>244</v>
      </c>
      <c r="C106" s="12" t="s">
        <v>485</v>
      </c>
      <c r="D106" s="12">
        <v>3</v>
      </c>
      <c r="E106" s="4">
        <v>42278.505555555559</v>
      </c>
      <c r="F106" s="12" t="s">
        <v>380</v>
      </c>
      <c r="G106" s="11" t="s">
        <v>21</v>
      </c>
      <c r="I106" s="11" t="str">
        <f>HYPERLINK("RMS Survey MB-111-Sign_Photo.JPG","RMS Survey MB-111-Sign_Photo")</f>
        <v>RMS Survey MB-111-Sign_Photo</v>
      </c>
      <c r="J106" s="11" t="str">
        <f>HYPERLINK("RMS Survey MB-111-Location_Photo.JPG","RMS Survey MB-111-Location_Photo")</f>
        <v>RMS Survey MB-111-Location_Photo</v>
      </c>
      <c r="K106" s="11" t="s">
        <v>224</v>
      </c>
      <c r="L106" s="11" t="s">
        <v>20</v>
      </c>
      <c r="M106" s="11" t="s">
        <v>225</v>
      </c>
    </row>
    <row r="107" spans="1:13" x14ac:dyDescent="0.25">
      <c r="A107" s="11" t="s">
        <v>245</v>
      </c>
      <c r="C107" s="12" t="s">
        <v>486</v>
      </c>
      <c r="D107" s="12">
        <v>3</v>
      </c>
      <c r="E107" s="4">
        <v>42278.509722222225</v>
      </c>
      <c r="F107" s="12" t="s">
        <v>380</v>
      </c>
      <c r="G107" s="11" t="s">
        <v>21</v>
      </c>
      <c r="I107" s="11" t="str">
        <f>HYPERLINK("RMS Survey MB-112-Sign_Photo.JPG","RMS Survey MB-112-Sign_Photo")</f>
        <v>RMS Survey MB-112-Sign_Photo</v>
      </c>
      <c r="J107" s="11" t="str">
        <f>HYPERLINK("RMS Survey MB-112-Location_Photo.JPG","RMS Survey MB-112-Location_Photo")</f>
        <v>RMS Survey MB-112-Location_Photo</v>
      </c>
      <c r="K107" s="11" t="s">
        <v>224</v>
      </c>
      <c r="L107" s="11" t="s">
        <v>20</v>
      </c>
      <c r="M107" s="11" t="s">
        <v>225</v>
      </c>
    </row>
    <row r="108" spans="1:13" x14ac:dyDescent="0.25">
      <c r="A108" s="11" t="s">
        <v>246</v>
      </c>
      <c r="C108" s="12" t="s">
        <v>487</v>
      </c>
      <c r="D108" s="12">
        <v>3</v>
      </c>
      <c r="E108" s="4">
        <v>42278.429166666669</v>
      </c>
      <c r="F108" s="12" t="s">
        <v>380</v>
      </c>
      <c r="G108" s="11" t="s">
        <v>21</v>
      </c>
      <c r="I108" s="11" t="str">
        <f>HYPERLINK("RMS Survey MB-113-Sign_Photo.JPG","RMS Survey MB-113-Sign_Photo")</f>
        <v>RMS Survey MB-113-Sign_Photo</v>
      </c>
      <c r="J108" s="11" t="str">
        <f>HYPERLINK("RMS Survey MB-113-Location_Photo.JPG","RMS Survey MB-113-Location_Photo")</f>
        <v>RMS Survey MB-113-Location_Photo</v>
      </c>
      <c r="K108" s="11" t="s">
        <v>250</v>
      </c>
      <c r="L108" s="11" t="s">
        <v>20</v>
      </c>
      <c r="M108" s="11" t="s">
        <v>20</v>
      </c>
    </row>
    <row r="109" spans="1:13" x14ac:dyDescent="0.25">
      <c r="A109" s="11" t="s">
        <v>251</v>
      </c>
      <c r="C109" s="12" t="s">
        <v>488</v>
      </c>
      <c r="E109" s="4">
        <v>42278.432638888888</v>
      </c>
      <c r="F109" s="12" t="s">
        <v>380</v>
      </c>
      <c r="G109" s="11" t="s">
        <v>21</v>
      </c>
      <c r="I109" s="11" t="str">
        <f>HYPERLINK("RMS Survey MB-114-Sign_Photo.JPG","RMS Survey MB-114-Sign_Photo")</f>
        <v>RMS Survey MB-114-Sign_Photo</v>
      </c>
      <c r="J109" s="11" t="str">
        <f>HYPERLINK("RMS Survey MB-114-Location_Photo.JPG","RMS Survey MB-114-Location_Photo")</f>
        <v>RMS Survey MB-114-Location_Photo</v>
      </c>
      <c r="K109" s="11" t="s">
        <v>20</v>
      </c>
      <c r="L109" s="11" t="s">
        <v>20</v>
      </c>
      <c r="M109" s="11" t="s">
        <v>20</v>
      </c>
    </row>
    <row r="110" spans="1:13" x14ac:dyDescent="0.25">
      <c r="A110" s="11" t="s">
        <v>254</v>
      </c>
      <c r="C110" s="12" t="s">
        <v>489</v>
      </c>
      <c r="E110" s="4">
        <v>42278.451388888891</v>
      </c>
      <c r="F110" s="12" t="s">
        <v>380</v>
      </c>
      <c r="G110" s="11" t="s">
        <v>21</v>
      </c>
      <c r="I110" s="11" t="str">
        <f>HYPERLINK("RMS Survey MB-115-Sign_Photo.JPG","RMS Survey MB-115-Sign_Photo")</f>
        <v>RMS Survey MB-115-Sign_Photo</v>
      </c>
      <c r="J110" s="11" t="str">
        <f>HYPERLINK("RMS Survey MB-115-Location_Photo.JPG","RMS Survey MB-115-Location_Photo")</f>
        <v>RMS Survey MB-115-Location_Photo</v>
      </c>
      <c r="K110" s="11" t="s">
        <v>20</v>
      </c>
      <c r="L110" s="11" t="s">
        <v>20</v>
      </c>
      <c r="M110" s="11" t="s">
        <v>20</v>
      </c>
    </row>
    <row r="111" spans="1:13" x14ac:dyDescent="0.25">
      <c r="A111" s="11" t="s">
        <v>256</v>
      </c>
      <c r="C111" s="12" t="s">
        <v>490</v>
      </c>
      <c r="E111" s="4">
        <v>42278.45208333333</v>
      </c>
      <c r="F111" s="12" t="s">
        <v>380</v>
      </c>
      <c r="G111" s="11" t="s">
        <v>21</v>
      </c>
      <c r="I111" s="11" t="str">
        <f>HYPERLINK("RMS Survey MB-116-Sign_Photo.JPG","RMS Survey MB-116-Sign_Photo")</f>
        <v>RMS Survey MB-116-Sign_Photo</v>
      </c>
      <c r="J111" s="11" t="str">
        <f>HYPERLINK("RMS Survey MB-116-Location_Photo.JPG","RMS Survey MB-116-Location_Photo")</f>
        <v>RMS Survey MB-116-Location_Photo</v>
      </c>
      <c r="K111" s="11" t="s">
        <v>20</v>
      </c>
      <c r="L111" s="11" t="s">
        <v>20</v>
      </c>
      <c r="M111" s="11" t="s">
        <v>20</v>
      </c>
    </row>
    <row r="112" spans="1:13" x14ac:dyDescent="0.25">
      <c r="A112" s="11" t="s">
        <v>258</v>
      </c>
      <c r="C112" s="12" t="s">
        <v>491</v>
      </c>
      <c r="E112" s="4">
        <v>42278.45208333333</v>
      </c>
      <c r="F112" s="12" t="s">
        <v>380</v>
      </c>
      <c r="G112" s="11" t="s">
        <v>21</v>
      </c>
      <c r="I112" s="11" t="str">
        <f>HYPERLINK("RMS Survey MB-117-Sign_Photo.JPG","RMS Survey MB-117-Sign_Photo")</f>
        <v>RMS Survey MB-117-Sign_Photo</v>
      </c>
      <c r="J112" s="11" t="str">
        <f>HYPERLINK("RMS Survey MB-117-Location_Photo.JPG","RMS Survey MB-117-Location_Photo")</f>
        <v>RMS Survey MB-117-Location_Photo</v>
      </c>
      <c r="K112" s="11" t="s">
        <v>20</v>
      </c>
      <c r="L112" s="11" t="s">
        <v>20</v>
      </c>
      <c r="M112" s="11" t="s">
        <v>20</v>
      </c>
    </row>
    <row r="113" spans="1:13" x14ac:dyDescent="0.25">
      <c r="A113" s="11" t="s">
        <v>260</v>
      </c>
      <c r="C113" s="12" t="s">
        <v>492</v>
      </c>
      <c r="E113" s="4">
        <v>42278.459722222222</v>
      </c>
      <c r="F113" s="12" t="s">
        <v>380</v>
      </c>
      <c r="G113" s="11" t="s">
        <v>21</v>
      </c>
      <c r="I113" s="11" t="str">
        <f>HYPERLINK("RMS Survey MB-118-Sign_Photo.JPG","RMS Survey MB-118-Sign_Photo")</f>
        <v>RMS Survey MB-118-Sign_Photo</v>
      </c>
      <c r="J113" s="11" t="str">
        <f>HYPERLINK("RMS Survey MB-118-Location_Photo.JPG","RMS Survey MB-118-Location_Photo")</f>
        <v>RMS Survey MB-118-Location_Photo</v>
      </c>
      <c r="K113" s="11" t="s">
        <v>20</v>
      </c>
      <c r="L113" s="11" t="s">
        <v>20</v>
      </c>
      <c r="M113" s="11" t="s">
        <v>20</v>
      </c>
    </row>
    <row r="114" spans="1:13" x14ac:dyDescent="0.25">
      <c r="A114" s="11" t="s">
        <v>262</v>
      </c>
      <c r="C114" s="12" t="s">
        <v>493</v>
      </c>
      <c r="E114" s="4">
        <v>42278.459722222222</v>
      </c>
      <c r="F114" s="12" t="s">
        <v>380</v>
      </c>
      <c r="G114" s="11" t="s">
        <v>21</v>
      </c>
      <c r="I114" s="11" t="str">
        <f>HYPERLINK("RMS Survey MB-119-Sign_Photo.JPG","RMS Survey MB-119-Sign_Photo")</f>
        <v>RMS Survey MB-119-Sign_Photo</v>
      </c>
      <c r="J114" s="11" t="str">
        <f>HYPERLINK("RMS Survey MB-119-Location_Photo.JPG","RMS Survey MB-119-Location_Photo")</f>
        <v>RMS Survey MB-119-Location_Photo</v>
      </c>
      <c r="K114" s="11" t="s">
        <v>20</v>
      </c>
      <c r="L114" s="11" t="s">
        <v>20</v>
      </c>
      <c r="M114" s="11" t="s">
        <v>20</v>
      </c>
    </row>
    <row r="115" spans="1:13" x14ac:dyDescent="0.25">
      <c r="A115" s="11" t="s">
        <v>264</v>
      </c>
      <c r="C115" s="12" t="s">
        <v>494</v>
      </c>
      <c r="E115" s="4">
        <v>42278.460416666669</v>
      </c>
      <c r="F115" s="12" t="s">
        <v>380</v>
      </c>
      <c r="G115" s="11" t="s">
        <v>21</v>
      </c>
      <c r="I115" s="11" t="str">
        <f>HYPERLINK("RMS Survey MB-120-Sign_Photo.JPG","RMS Survey MB-120-Sign_Photo")</f>
        <v>RMS Survey MB-120-Sign_Photo</v>
      </c>
      <c r="J115" s="11" t="str">
        <f>HYPERLINK("RMS Survey MB-120-Location_Photo.JPG","RMS Survey MB-120-Location_Photo")</f>
        <v>RMS Survey MB-120-Location_Photo</v>
      </c>
      <c r="K115" s="11" t="s">
        <v>20</v>
      </c>
      <c r="L115" s="11" t="s">
        <v>20</v>
      </c>
      <c r="M115" s="11" t="s">
        <v>20</v>
      </c>
    </row>
    <row r="116" spans="1:13" x14ac:dyDescent="0.25">
      <c r="A116" s="11" t="s">
        <v>265</v>
      </c>
      <c r="C116" s="12" t="s">
        <v>495</v>
      </c>
      <c r="E116" s="4">
        <v>42278.46597222222</v>
      </c>
      <c r="F116" s="12" t="s">
        <v>380</v>
      </c>
      <c r="G116" s="11" t="s">
        <v>21</v>
      </c>
      <c r="I116" s="11" t="str">
        <f>HYPERLINK("RMS Survey MB-121-Sign_Photo.JPG","RMS Survey MB-121-Sign_Photo")</f>
        <v>RMS Survey MB-121-Sign_Photo</v>
      </c>
      <c r="J116" s="11" t="str">
        <f>HYPERLINK("RMS Survey MB-121-Location_Photo.JPG","RMS Survey MB-121-Location_Photo")</f>
        <v>RMS Survey MB-121-Location_Photo</v>
      </c>
      <c r="K116" s="11" t="s">
        <v>20</v>
      </c>
      <c r="L116" s="11" t="s">
        <v>20</v>
      </c>
      <c r="M116" s="11" t="s">
        <v>20</v>
      </c>
    </row>
    <row r="117" spans="1:13" x14ac:dyDescent="0.25">
      <c r="A117" s="11" t="s">
        <v>267</v>
      </c>
      <c r="C117" s="12" t="s">
        <v>496</v>
      </c>
      <c r="E117" s="4">
        <v>42278.46597222222</v>
      </c>
      <c r="F117" s="12" t="s">
        <v>380</v>
      </c>
      <c r="G117" s="11" t="s">
        <v>21</v>
      </c>
      <c r="I117" s="11" t="str">
        <f>HYPERLINK("RMS Survey MB-122-Sign_Photo.JPG","RMS Survey MB-122-Sign_Photo")</f>
        <v>RMS Survey MB-122-Sign_Photo</v>
      </c>
      <c r="J117" s="11" t="str">
        <f>HYPERLINK("RMS Survey MB-122-Location_Photo.JPG","RMS Survey MB-122-Location_Photo")</f>
        <v>RMS Survey MB-122-Location_Photo</v>
      </c>
      <c r="K117" s="11" t="s">
        <v>20</v>
      </c>
      <c r="L117" s="11" t="s">
        <v>20</v>
      </c>
      <c r="M117" s="11" t="s">
        <v>20</v>
      </c>
    </row>
    <row r="118" spans="1:13" x14ac:dyDescent="0.25">
      <c r="A118" s="11" t="s">
        <v>269</v>
      </c>
      <c r="C118" s="12" t="s">
        <v>497</v>
      </c>
      <c r="E118" s="4">
        <v>42278.466666666667</v>
      </c>
      <c r="F118" s="12" t="s">
        <v>380</v>
      </c>
      <c r="G118" s="11" t="s">
        <v>21</v>
      </c>
      <c r="I118" s="11" t="str">
        <f>HYPERLINK("RMS Survey MB-123-Sign_Photo.JPG","RMS Survey MB-123-Sign_Photo")</f>
        <v>RMS Survey MB-123-Sign_Photo</v>
      </c>
      <c r="J118" s="11" t="str">
        <f>HYPERLINK("RMS Survey MB-123-Location_Photo.JPG","RMS Survey MB-123-Location_Photo")</f>
        <v>RMS Survey MB-123-Location_Photo</v>
      </c>
      <c r="K118" s="11" t="s">
        <v>20</v>
      </c>
      <c r="L118" s="11" t="s">
        <v>20</v>
      </c>
      <c r="M118" s="11" t="s">
        <v>20</v>
      </c>
    </row>
    <row r="119" spans="1:13" x14ac:dyDescent="0.25">
      <c r="A119" s="11" t="s">
        <v>270</v>
      </c>
      <c r="C119" s="12" t="s">
        <v>498</v>
      </c>
      <c r="E119" s="4">
        <v>42278.53125</v>
      </c>
      <c r="F119" s="12" t="s">
        <v>380</v>
      </c>
      <c r="G119" s="11" t="s">
        <v>21</v>
      </c>
      <c r="I119" s="11" t="str">
        <f>HYPERLINK("RMS Survey MB-124-Sign_Photo.JPG","RMS Survey MB-124-Sign_Photo")</f>
        <v>RMS Survey MB-124-Sign_Photo</v>
      </c>
      <c r="J119" s="11" t="str">
        <f>HYPERLINK("RMS Survey MB-124-Location_Photo.JPG","RMS Survey MB-124-Location_Photo")</f>
        <v>RMS Survey MB-124-Location_Photo</v>
      </c>
      <c r="K119" s="11" t="s">
        <v>20</v>
      </c>
      <c r="L119" s="11" t="s">
        <v>20</v>
      </c>
      <c r="M119" s="11" t="s">
        <v>20</v>
      </c>
    </row>
    <row r="120" spans="1:13" x14ac:dyDescent="0.25">
      <c r="A120" s="11" t="s">
        <v>272</v>
      </c>
      <c r="C120" s="12" t="s">
        <v>499</v>
      </c>
      <c r="D120" s="12">
        <v>2</v>
      </c>
      <c r="E120" s="4">
        <v>42278.527777777781</v>
      </c>
      <c r="F120" s="12" t="s">
        <v>380</v>
      </c>
      <c r="G120" s="11" t="s">
        <v>21</v>
      </c>
      <c r="I120" s="11" t="str">
        <f>HYPERLINK("RMS Survey MB-125-Sign_Photo.JPG","RMS Survey MB-125-Sign_Photo")</f>
        <v>RMS Survey MB-125-Sign_Photo</v>
      </c>
      <c r="J120" s="11" t="str">
        <f>HYPERLINK("RMS Survey MB-125-Location_Photo.JPG","RMS Survey MB-125-Location_Photo")</f>
        <v>RMS Survey MB-125-Location_Photo</v>
      </c>
      <c r="K120" s="11" t="s">
        <v>65</v>
      </c>
      <c r="L120" s="11" t="s">
        <v>20</v>
      </c>
      <c r="M120" s="11" t="s">
        <v>20</v>
      </c>
    </row>
    <row r="121" spans="1:13" x14ac:dyDescent="0.25">
      <c r="A121" s="11" t="s">
        <v>273</v>
      </c>
      <c r="C121" s="12" t="s">
        <v>500</v>
      </c>
      <c r="E121" s="4">
        <v>42278.525000000001</v>
      </c>
      <c r="F121" s="12" t="s">
        <v>380</v>
      </c>
      <c r="G121" s="11" t="s">
        <v>21</v>
      </c>
      <c r="I121" s="11" t="str">
        <f>HYPERLINK("RMS Survey MB-126-Sign_Photo.JPG","RMS Survey MB-126-Sign_Photo")</f>
        <v>RMS Survey MB-126-Sign_Photo</v>
      </c>
      <c r="J121" s="11" t="str">
        <f>HYPERLINK("RMS Survey MB-126-Location_Photo.JPG","RMS Survey MB-126-Location_Photo")</f>
        <v>RMS Survey MB-126-Location_Photo</v>
      </c>
      <c r="K121" s="11" t="s">
        <v>20</v>
      </c>
      <c r="L121" s="11" t="s">
        <v>20</v>
      </c>
      <c r="M121" s="11" t="s">
        <v>20</v>
      </c>
    </row>
    <row r="122" spans="1:13" x14ac:dyDescent="0.25">
      <c r="A122" s="11" t="s">
        <v>276</v>
      </c>
      <c r="C122" s="12" t="s">
        <v>501</v>
      </c>
      <c r="E122" s="4">
        <v>42278.522916666669</v>
      </c>
      <c r="F122" s="12" t="s">
        <v>380</v>
      </c>
      <c r="G122" s="11" t="s">
        <v>21</v>
      </c>
      <c r="I122" s="11" t="str">
        <f>HYPERLINK("RMS Survey MB-127-Sign_Photo.JPG","RMS Survey MB-127-Sign_Photo")</f>
        <v>RMS Survey MB-127-Sign_Photo</v>
      </c>
      <c r="J122" s="11" t="str">
        <f>HYPERLINK("RMS Survey MB-127-Location_Photo.JPG","RMS Survey MB-127-Location_Photo")</f>
        <v>RMS Survey MB-127-Location_Photo</v>
      </c>
      <c r="K122" s="11" t="s">
        <v>20</v>
      </c>
      <c r="L122" s="11" t="s">
        <v>20</v>
      </c>
      <c r="M122" s="11" t="s">
        <v>20</v>
      </c>
    </row>
    <row r="123" spans="1:13" x14ac:dyDescent="0.25">
      <c r="A123" s="11" t="s">
        <v>278</v>
      </c>
      <c r="C123" s="12" t="s">
        <v>502</v>
      </c>
      <c r="E123" s="4">
        <v>42278.484027777777</v>
      </c>
      <c r="F123" s="12" t="s">
        <v>380</v>
      </c>
      <c r="G123" s="11" t="s">
        <v>21</v>
      </c>
      <c r="I123" s="11" t="str">
        <f>HYPERLINK("RMS Survey MB-128-Sign_Photo.JPG","RMS Survey MB-128-Sign_Photo")</f>
        <v>RMS Survey MB-128-Sign_Photo</v>
      </c>
      <c r="J123" s="11" t="str">
        <f>HYPERLINK("RMS Survey MB-128-Location_Photo.JPG","RMS Survey MB-128-Location_Photo")</f>
        <v>RMS Survey MB-128-Location_Photo</v>
      </c>
      <c r="K123" s="11" t="s">
        <v>20</v>
      </c>
      <c r="L123" s="11" t="s">
        <v>20</v>
      </c>
      <c r="M123" s="11" t="s">
        <v>20</v>
      </c>
    </row>
    <row r="124" spans="1:13" x14ac:dyDescent="0.25">
      <c r="A124" s="11" t="s">
        <v>279</v>
      </c>
      <c r="C124" s="12" t="s">
        <v>503</v>
      </c>
      <c r="E124" s="4">
        <v>42278.488888888889</v>
      </c>
      <c r="F124" s="12" t="s">
        <v>380</v>
      </c>
      <c r="G124" s="11" t="s">
        <v>21</v>
      </c>
      <c r="I124" s="11" t="str">
        <f>HYPERLINK("RMS Survey MB-129-Sign_Photo.JPG","RMS Survey MB-129-Sign_Photo")</f>
        <v>RMS Survey MB-129-Sign_Photo</v>
      </c>
      <c r="J124" s="11" t="str">
        <f>HYPERLINK("RMS Survey MB-129-Location_Photo.JPG","RMS Survey MB-129-Location_Photo")</f>
        <v>RMS Survey MB-129-Location_Photo</v>
      </c>
      <c r="K124" s="11" t="s">
        <v>20</v>
      </c>
      <c r="L124" s="11" t="s">
        <v>20</v>
      </c>
      <c r="M124" s="11" t="s">
        <v>20</v>
      </c>
    </row>
    <row r="125" spans="1:13" x14ac:dyDescent="0.25">
      <c r="A125" s="11" t="s">
        <v>282</v>
      </c>
      <c r="C125" s="12" t="s">
        <v>504</v>
      </c>
      <c r="E125" s="4">
        <v>42278.520833333336</v>
      </c>
      <c r="F125" s="12" t="s">
        <v>380</v>
      </c>
      <c r="G125" s="11" t="s">
        <v>21</v>
      </c>
      <c r="I125" s="11" t="str">
        <f>HYPERLINK("RMS Survey MB-130-Sign_Photo.JPG","RMS Survey MB-130-Sign_Photo")</f>
        <v>RMS Survey MB-130-Sign_Photo</v>
      </c>
      <c r="J125" s="11" t="str">
        <f>HYPERLINK("RMS Survey MB-130-Location_Photo.JPG","RMS Survey MB-130-Location_Photo")</f>
        <v>RMS Survey MB-130-Location_Photo</v>
      </c>
      <c r="K125" s="11" t="s">
        <v>20</v>
      </c>
      <c r="L125" s="11" t="s">
        <v>20</v>
      </c>
      <c r="M125" s="11" t="s">
        <v>20</v>
      </c>
    </row>
    <row r="126" spans="1:13" x14ac:dyDescent="0.25">
      <c r="A126" s="11" t="s">
        <v>285</v>
      </c>
      <c r="C126" s="12" t="s">
        <v>505</v>
      </c>
      <c r="E126" s="4">
        <v>42278.53402777778</v>
      </c>
      <c r="F126" s="12" t="s">
        <v>380</v>
      </c>
      <c r="G126" s="11" t="s">
        <v>21</v>
      </c>
      <c r="I126" s="11" t="str">
        <f>HYPERLINK("RMS Survey MB-131-Sign_Photo.JPG","RMS Survey MB-131-Sign_Photo")</f>
        <v>RMS Survey MB-131-Sign_Photo</v>
      </c>
      <c r="J126" s="11" t="str">
        <f>HYPERLINK("RMS Survey MB-131-Location_Photo.JPG","RMS Survey MB-131-Location_Photo")</f>
        <v>RMS Survey MB-131-Location_Photo</v>
      </c>
      <c r="K126" s="11" t="s">
        <v>20</v>
      </c>
      <c r="L126" s="11" t="s">
        <v>20</v>
      </c>
      <c r="M126" s="11" t="s">
        <v>20</v>
      </c>
    </row>
    <row r="127" spans="1:13" x14ac:dyDescent="0.25">
      <c r="A127" s="11" t="s">
        <v>289</v>
      </c>
      <c r="C127" s="12" t="s">
        <v>506</v>
      </c>
      <c r="E127" s="4">
        <v>42278.593055555553</v>
      </c>
      <c r="F127" s="12" t="s">
        <v>380</v>
      </c>
      <c r="G127" s="11" t="s">
        <v>21</v>
      </c>
      <c r="I127" s="11" t="str">
        <f>HYPERLINK("RMS Survey MB-132-Sign_Photo.JPG","RMS Survey MB-132-Sign_Photo")</f>
        <v>RMS Survey MB-132-Sign_Photo</v>
      </c>
      <c r="J127" s="11" t="str">
        <f>HYPERLINK("RMS Survey MB-132-Location_Photo.JPG","RMS Survey MB-132-Location_Photo")</f>
        <v>RMS Survey MB-132-Location_Photo</v>
      </c>
      <c r="K127" s="11" t="s">
        <v>20</v>
      </c>
      <c r="L127" s="11" t="s">
        <v>20</v>
      </c>
      <c r="M127" s="11" t="s">
        <v>20</v>
      </c>
    </row>
    <row r="128" spans="1:13" x14ac:dyDescent="0.25">
      <c r="A128" s="11" t="s">
        <v>290</v>
      </c>
      <c r="C128" s="12" t="s">
        <v>507</v>
      </c>
      <c r="E128" s="4">
        <v>42278.481249999997</v>
      </c>
      <c r="F128" s="12" t="s">
        <v>380</v>
      </c>
      <c r="G128" s="11" t="s">
        <v>21</v>
      </c>
      <c r="I128" s="11" t="str">
        <f>HYPERLINK("RMS Survey MB-134-Sign_Photo.JPG","RMS Survey MB-134-Sign_Photo")</f>
        <v>RMS Survey MB-134-Sign_Photo</v>
      </c>
      <c r="J128" s="11" t="str">
        <f>HYPERLINK("RMS Survey MB-134-Location_Photo.JPG","RMS Survey MB-134-Location_Photo")</f>
        <v>RMS Survey MB-134-Location_Photo</v>
      </c>
      <c r="K128" s="11" t="s">
        <v>20</v>
      </c>
      <c r="L128" s="11" t="s">
        <v>20</v>
      </c>
      <c r="M128" s="11" t="s">
        <v>20</v>
      </c>
    </row>
    <row r="129" spans="1:13" x14ac:dyDescent="0.25">
      <c r="A129" s="11" t="s">
        <v>292</v>
      </c>
      <c r="C129" s="12" t="s">
        <v>508</v>
      </c>
      <c r="E129" s="4">
        <v>42278.479166666664</v>
      </c>
      <c r="F129" s="12" t="s">
        <v>380</v>
      </c>
      <c r="G129" s="11" t="s">
        <v>21</v>
      </c>
      <c r="I129" s="11" t="str">
        <f>HYPERLINK("RMS Survey MB-135-Sign_Photo.JPG","RMS Survey MB-135-Sign_Photo")</f>
        <v>RMS Survey MB-135-Sign_Photo</v>
      </c>
      <c r="J129" s="11" t="str">
        <f>HYPERLINK("RMS Survey MB-135-Location_Photo.JPG","RMS Survey MB-135-Location_Photo")</f>
        <v>RMS Survey MB-135-Location_Photo</v>
      </c>
      <c r="K129" s="11" t="s">
        <v>20</v>
      </c>
      <c r="L129" s="11" t="s">
        <v>20</v>
      </c>
      <c r="M129" s="11" t="s">
        <v>20</v>
      </c>
    </row>
    <row r="130" spans="1:13" x14ac:dyDescent="0.25">
      <c r="A130" s="11" t="s">
        <v>293</v>
      </c>
      <c r="C130" s="12" t="s">
        <v>509</v>
      </c>
      <c r="E130" s="4">
        <v>42278.477083333331</v>
      </c>
      <c r="F130" s="12" t="s">
        <v>380</v>
      </c>
      <c r="G130" s="11" t="s">
        <v>21</v>
      </c>
      <c r="I130" s="11" t="str">
        <f>HYPERLINK("RMS Survey MB-136-Sign_Photo.JPG","RMS Survey MB-136-Sign_Photo")</f>
        <v>RMS Survey MB-136-Sign_Photo</v>
      </c>
      <c r="J130" s="11" t="str">
        <f>HYPERLINK("RMS Survey MB-136-Location_Photo.JPG","RMS Survey MB-136-Location_Photo")</f>
        <v>RMS Survey MB-136-Location_Photo</v>
      </c>
      <c r="K130" s="11" t="s">
        <v>20</v>
      </c>
      <c r="L130" s="11" t="s">
        <v>20</v>
      </c>
      <c r="M130" s="11" t="s">
        <v>20</v>
      </c>
    </row>
    <row r="131" spans="1:13" x14ac:dyDescent="0.25">
      <c r="A131" s="11" t="s">
        <v>294</v>
      </c>
      <c r="C131" s="12" t="s">
        <v>510</v>
      </c>
      <c r="E131" s="4">
        <v>42278.474999999999</v>
      </c>
      <c r="F131" s="12" t="s">
        <v>380</v>
      </c>
      <c r="G131" s="11" t="s">
        <v>21</v>
      </c>
      <c r="I131" s="11" t="str">
        <f>HYPERLINK("RMS Survey MB-137-Sign_Photo.JPG","RMS Survey MB-137-Sign_Photo")</f>
        <v>RMS Survey MB-137-Sign_Photo</v>
      </c>
      <c r="J131" s="11" t="str">
        <f>HYPERLINK("RMS Survey MB-137-Location_Photo.JPG","RMS Survey MB-137-Location_Photo")</f>
        <v>RMS Survey MB-137-Location_Photo</v>
      </c>
      <c r="K131" s="11" t="s">
        <v>20</v>
      </c>
      <c r="L131" s="11" t="s">
        <v>20</v>
      </c>
      <c r="M131" s="11" t="s">
        <v>20</v>
      </c>
    </row>
    <row r="132" spans="1:13" x14ac:dyDescent="0.25">
      <c r="A132" s="11" t="s">
        <v>296</v>
      </c>
      <c r="C132" s="12" t="s">
        <v>511</v>
      </c>
      <c r="E132" s="4">
        <v>42278.6</v>
      </c>
      <c r="F132" s="12" t="s">
        <v>380</v>
      </c>
      <c r="G132" s="11" t="s">
        <v>21</v>
      </c>
      <c r="I132" s="11" t="str">
        <f>HYPERLINK("RMS Survey MB-138-Sign_Photo.JPG","RMS Survey MB-138-Sign_Photo")</f>
        <v>RMS Survey MB-138-Sign_Photo</v>
      </c>
      <c r="J132" s="11" t="str">
        <f>HYPERLINK("RMS Survey MB-138-Location_Photo.JPG","RMS Survey MB-138-Location_Photo")</f>
        <v>RMS Survey MB-138-Location_Photo</v>
      </c>
      <c r="K132" s="11" t="s">
        <v>20</v>
      </c>
      <c r="L132" s="11" t="s">
        <v>20</v>
      </c>
      <c r="M132" s="11" t="s">
        <v>20</v>
      </c>
    </row>
    <row r="133" spans="1:13" x14ac:dyDescent="0.25">
      <c r="A133" s="11" t="s">
        <v>298</v>
      </c>
      <c r="C133" s="12" t="s">
        <v>512</v>
      </c>
      <c r="E133" s="4">
        <v>42278.597222222219</v>
      </c>
      <c r="F133" s="12" t="s">
        <v>380</v>
      </c>
      <c r="G133" s="11" t="s">
        <v>21</v>
      </c>
      <c r="I133" s="11" t="str">
        <f>HYPERLINK("RMS Survey MB-140-Sign_Photo.JPG","RMS Survey MB-140-Sign_Photo")</f>
        <v>RMS Survey MB-140-Sign_Photo</v>
      </c>
      <c r="J133" s="11" t="str">
        <f>HYPERLINK("RMS Survey MB-140-Location_Photo.JPG","RMS Survey MB-140-Location_Photo")</f>
        <v>RMS Survey MB-140-Location_Photo</v>
      </c>
      <c r="K133" s="11" t="s">
        <v>20</v>
      </c>
      <c r="L133" s="11" t="s">
        <v>20</v>
      </c>
      <c r="M133" s="11" t="s">
        <v>20</v>
      </c>
    </row>
    <row r="134" spans="1:13" x14ac:dyDescent="0.25">
      <c r="A134" s="11" t="s">
        <v>299</v>
      </c>
      <c r="C134" s="12" t="s">
        <v>513</v>
      </c>
      <c r="E134" s="4">
        <v>42278.602777777778</v>
      </c>
      <c r="F134" s="12" t="s">
        <v>380</v>
      </c>
      <c r="G134" s="11" t="s">
        <v>21</v>
      </c>
      <c r="I134" s="11" t="str">
        <f>HYPERLINK("RMS Survey MB-141-Sign_Photo.JPG","RMS Survey MB-141-Sign_Photo")</f>
        <v>RMS Survey MB-141-Sign_Photo</v>
      </c>
      <c r="J134" s="11" t="str">
        <f>HYPERLINK("RMS Survey MB-141-Location_Photo.JPG","RMS Survey MB-141-Location_Photo")</f>
        <v>RMS Survey MB-141-Location_Photo</v>
      </c>
      <c r="K134" s="11" t="s">
        <v>20</v>
      </c>
      <c r="L134" s="11" t="s">
        <v>20</v>
      </c>
      <c r="M134" s="11" t="s">
        <v>20</v>
      </c>
    </row>
    <row r="135" spans="1:13" x14ac:dyDescent="0.25">
      <c r="A135" s="11" t="s">
        <v>301</v>
      </c>
      <c r="C135" s="12" t="s">
        <v>514</v>
      </c>
      <c r="D135" s="12">
        <v>2</v>
      </c>
      <c r="E135" s="4">
        <v>42278.611111111109</v>
      </c>
      <c r="F135" s="12" t="s">
        <v>380</v>
      </c>
      <c r="G135" s="11" t="s">
        <v>21</v>
      </c>
      <c r="I135" s="11" t="str">
        <f>HYPERLINK("RMS Survey MB-142-Sign_Photo.JPG","RMS Survey MB-142-Sign_Photo")</f>
        <v>RMS Survey MB-142-Sign_Photo</v>
      </c>
      <c r="J135" s="11" t="str">
        <f>HYPERLINK("RMS Survey MB-142-Location_Photo.JPG","RMS Survey MB-142-Location_Photo")</f>
        <v>RMS Survey MB-142-Location_Photo</v>
      </c>
      <c r="K135" s="11" t="s">
        <v>304</v>
      </c>
      <c r="L135" s="11" t="s">
        <v>20</v>
      </c>
      <c r="M135" s="11" t="s">
        <v>20</v>
      </c>
    </row>
    <row r="136" spans="1:13" x14ac:dyDescent="0.25">
      <c r="A136" s="11" t="s">
        <v>305</v>
      </c>
      <c r="C136" s="12" t="s">
        <v>515</v>
      </c>
      <c r="E136" s="4">
        <v>42278.606249999997</v>
      </c>
      <c r="F136" s="12" t="s">
        <v>380</v>
      </c>
      <c r="G136" s="11" t="s">
        <v>21</v>
      </c>
      <c r="K136" s="11" t="s">
        <v>20</v>
      </c>
      <c r="L136" s="11" t="s">
        <v>20</v>
      </c>
      <c r="M136" s="11" t="s">
        <v>20</v>
      </c>
    </row>
    <row r="137" spans="1:13" x14ac:dyDescent="0.25">
      <c r="A137" s="11" t="s">
        <v>307</v>
      </c>
      <c r="C137" s="12" t="s">
        <v>516</v>
      </c>
      <c r="E137" s="4">
        <v>42278.609027777777</v>
      </c>
      <c r="F137" s="12" t="s">
        <v>380</v>
      </c>
      <c r="G137" s="11" t="s">
        <v>21</v>
      </c>
      <c r="I137" s="11" t="str">
        <f>HYPERLINK("RMS Survey MB-144-Sign_Photo.JPG","RMS Survey MB-144-Sign_Photo")</f>
        <v>RMS Survey MB-144-Sign_Photo</v>
      </c>
      <c r="J137" s="11" t="str">
        <f>HYPERLINK("RMS Survey MB-144-Location_Photo.JPG","RMS Survey MB-144-Location_Photo")</f>
        <v>RMS Survey MB-144-Location_Photo</v>
      </c>
      <c r="K137" s="11" t="s">
        <v>20</v>
      </c>
      <c r="L137" s="11" t="s">
        <v>20</v>
      </c>
      <c r="M137" s="11" t="s">
        <v>20</v>
      </c>
    </row>
    <row r="138" spans="1:13" x14ac:dyDescent="0.25">
      <c r="A138" s="11" t="s">
        <v>308</v>
      </c>
      <c r="C138" s="12" t="s">
        <v>517</v>
      </c>
      <c r="E138" s="4">
        <v>42278.636111111111</v>
      </c>
      <c r="F138" s="12" t="s">
        <v>380</v>
      </c>
      <c r="G138" s="11" t="s">
        <v>21</v>
      </c>
      <c r="I138" s="11" t="str">
        <f>HYPERLINK("RMS Survey MB-145-Sign_Photo.JPG","RMS Survey MB-145-Sign_Photo")</f>
        <v>RMS Survey MB-145-Sign_Photo</v>
      </c>
      <c r="J138" s="11" t="str">
        <f>HYPERLINK("RMS Survey MB-145-Location_Photo.JPG","RMS Survey MB-145-Location_Photo")</f>
        <v>RMS Survey MB-145-Location_Photo</v>
      </c>
      <c r="K138" s="11" t="s">
        <v>20</v>
      </c>
      <c r="L138" s="11" t="s">
        <v>20</v>
      </c>
      <c r="M138" s="11" t="s">
        <v>20</v>
      </c>
    </row>
    <row r="139" spans="1:13" x14ac:dyDescent="0.25">
      <c r="A139" s="11" t="s">
        <v>309</v>
      </c>
      <c r="C139" s="12" t="s">
        <v>518</v>
      </c>
      <c r="D139" s="12">
        <v>3</v>
      </c>
      <c r="E139" s="4">
        <v>42278.640277777777</v>
      </c>
      <c r="F139" s="12" t="s">
        <v>380</v>
      </c>
      <c r="G139" s="11" t="s">
        <v>21</v>
      </c>
      <c r="I139" s="11" t="str">
        <f>HYPERLINK("RMS Survey MB-146-Sign_Photo.JPG","RMS Survey MB-146-Sign_Photo")</f>
        <v>RMS Survey MB-146-Sign_Photo</v>
      </c>
      <c r="J139" s="11" t="str">
        <f>HYPERLINK("RMS Survey MB-146-Location_Photo.JPG","RMS Survey MB-146-Location_Photo")</f>
        <v>RMS Survey MB-146-Location_Photo</v>
      </c>
      <c r="K139" s="11" t="s">
        <v>310</v>
      </c>
      <c r="L139" s="11" t="s">
        <v>20</v>
      </c>
      <c r="M139" s="11" t="s">
        <v>20</v>
      </c>
    </row>
    <row r="140" spans="1:13" x14ac:dyDescent="0.25">
      <c r="A140" s="11" t="s">
        <v>311</v>
      </c>
      <c r="C140" s="12" t="s">
        <v>519</v>
      </c>
      <c r="E140" s="4">
        <v>42278.643055555556</v>
      </c>
      <c r="F140" s="12" t="s">
        <v>380</v>
      </c>
      <c r="G140" s="11" t="s">
        <v>21</v>
      </c>
      <c r="I140" s="11" t="str">
        <f>HYPERLINK("RMS Survey MB-147-Sign_Photo.JPG","RMS Survey MB-147-Sign_Photo")</f>
        <v>RMS Survey MB-147-Sign_Photo</v>
      </c>
      <c r="J140" s="11" t="str">
        <f>HYPERLINK("RMS Survey MB-147-Location_Photo.JPG","RMS Survey MB-147-Location_Photo")</f>
        <v>RMS Survey MB-147-Location_Photo</v>
      </c>
      <c r="K140" s="11" t="s">
        <v>20</v>
      </c>
      <c r="L140" s="11" t="s">
        <v>20</v>
      </c>
      <c r="M140" s="11" t="s">
        <v>20</v>
      </c>
    </row>
    <row r="141" spans="1:13" x14ac:dyDescent="0.25">
      <c r="A141" s="11" t="s">
        <v>312</v>
      </c>
      <c r="C141" s="12" t="s">
        <v>520</v>
      </c>
      <c r="E141" s="4">
        <v>42278.644444444442</v>
      </c>
      <c r="F141" s="12" t="s">
        <v>380</v>
      </c>
      <c r="G141" s="11" t="s">
        <v>21</v>
      </c>
      <c r="I141" s="11" t="str">
        <f>HYPERLINK("RMS Survey MB-148-Sign_Photo.JPG","RMS Survey MB-148-Sign_Photo")</f>
        <v>RMS Survey MB-148-Sign_Photo</v>
      </c>
      <c r="J141" s="11" t="str">
        <f>HYPERLINK("RMS Survey MB-148-Location_Photo.JPG","RMS Survey MB-148-Location_Photo")</f>
        <v>RMS Survey MB-148-Location_Photo</v>
      </c>
      <c r="K141" s="11" t="s">
        <v>20</v>
      </c>
      <c r="L141" s="11" t="s">
        <v>20</v>
      </c>
      <c r="M141" s="11" t="s">
        <v>20</v>
      </c>
    </row>
    <row r="142" spans="1:13" x14ac:dyDescent="0.25">
      <c r="A142" s="11" t="s">
        <v>313</v>
      </c>
      <c r="C142" s="12" t="s">
        <v>521</v>
      </c>
      <c r="E142" s="4">
        <v>42278.614583333336</v>
      </c>
      <c r="F142" s="12" t="s">
        <v>380</v>
      </c>
      <c r="G142" s="11" t="s">
        <v>21</v>
      </c>
      <c r="I142" s="11" t="str">
        <f>HYPERLINK("RMS Survey MB-149-Sign_Photo.JPG","RMS Survey MB-149-Sign_Photo")</f>
        <v>RMS Survey MB-149-Sign_Photo</v>
      </c>
      <c r="J142" s="11" t="str">
        <f>HYPERLINK("RMS Survey MB-149-Location_Photo.JPG","RMS Survey MB-149-Location_Photo")</f>
        <v>RMS Survey MB-149-Location_Photo</v>
      </c>
      <c r="K142" s="11" t="s">
        <v>20</v>
      </c>
      <c r="L142" s="11" t="s">
        <v>20</v>
      </c>
      <c r="M142" s="11" t="s">
        <v>20</v>
      </c>
    </row>
    <row r="143" spans="1:13" x14ac:dyDescent="0.25">
      <c r="A143" s="11" t="s">
        <v>314</v>
      </c>
      <c r="C143" s="12" t="s">
        <v>522</v>
      </c>
      <c r="E143" s="4">
        <v>42278.616666666669</v>
      </c>
      <c r="F143" s="12" t="s">
        <v>380</v>
      </c>
      <c r="G143" s="11" t="s">
        <v>21</v>
      </c>
      <c r="I143" s="11" t="str">
        <f>HYPERLINK("RMS Survey MB-150-Sign_Photo.JPG","RMS Survey MB-150-Sign_Photo")</f>
        <v>RMS Survey MB-150-Sign_Photo</v>
      </c>
      <c r="J143" s="11" t="str">
        <f>HYPERLINK("RMS Survey MB-150-Location_Photo.JPG","RMS Survey MB-150-Location_Photo")</f>
        <v>RMS Survey MB-150-Location_Photo</v>
      </c>
      <c r="K143" s="11" t="s">
        <v>20</v>
      </c>
      <c r="L143" s="11" t="s">
        <v>20</v>
      </c>
      <c r="M143" s="11" t="s">
        <v>20</v>
      </c>
    </row>
    <row r="144" spans="1:13" x14ac:dyDescent="0.25">
      <c r="A144" s="11" t="s">
        <v>315</v>
      </c>
      <c r="C144" s="12" t="s">
        <v>523</v>
      </c>
      <c r="E144" s="4">
        <v>42278.618055555555</v>
      </c>
      <c r="F144" s="12" t="s">
        <v>380</v>
      </c>
      <c r="G144" s="11" t="s">
        <v>21</v>
      </c>
      <c r="I144" s="11" t="str">
        <f>HYPERLINK("RMS Survey MB-151-Sign_Photo.JPG","RMS Survey MB-151-Sign_Photo")</f>
        <v>RMS Survey MB-151-Sign_Photo</v>
      </c>
      <c r="J144" s="11" t="str">
        <f>HYPERLINK("RMS Survey MB-151-Location_Photo.JPG","RMS Survey MB-151-Location_Photo")</f>
        <v>RMS Survey MB-151-Location_Photo</v>
      </c>
      <c r="K144" s="11" t="s">
        <v>20</v>
      </c>
      <c r="L144" s="11" t="s">
        <v>20</v>
      </c>
      <c r="M144" s="11" t="s">
        <v>20</v>
      </c>
    </row>
    <row r="145" spans="1:13" x14ac:dyDescent="0.25">
      <c r="A145" s="11" t="s">
        <v>317</v>
      </c>
      <c r="C145" s="12" t="s">
        <v>524</v>
      </c>
      <c r="D145" s="12">
        <v>2</v>
      </c>
      <c r="E145" s="4">
        <v>42278.623611111114</v>
      </c>
      <c r="F145" s="12" t="s">
        <v>380</v>
      </c>
      <c r="G145" s="11" t="s">
        <v>21</v>
      </c>
      <c r="I145" s="11" t="str">
        <f>HYPERLINK("RMS Survey MB-152-Sign_Photo.JPG","RMS Survey MB-152-Sign_Photo")</f>
        <v>RMS Survey MB-152-Sign_Photo</v>
      </c>
      <c r="J145" s="11" t="str">
        <f>HYPERLINK("RMS Survey MB-152-Location_Photo.JPG","RMS Survey MB-152-Location_Photo")</f>
        <v>RMS Survey MB-152-Location_Photo</v>
      </c>
      <c r="K145" s="11" t="s">
        <v>318</v>
      </c>
      <c r="L145" s="11" t="s">
        <v>20</v>
      </c>
      <c r="M145" s="11" t="s">
        <v>20</v>
      </c>
    </row>
    <row r="146" spans="1:13" x14ac:dyDescent="0.25">
      <c r="A146" s="11" t="s">
        <v>319</v>
      </c>
      <c r="C146" s="12" t="s">
        <v>525</v>
      </c>
      <c r="E146" s="4">
        <v>42278.628472222219</v>
      </c>
      <c r="F146" s="12" t="s">
        <v>380</v>
      </c>
      <c r="G146" s="11" t="s">
        <v>21</v>
      </c>
      <c r="I146" s="11" t="str">
        <f>HYPERLINK("RMS Survey MB-EMCG-8-Sign_Photo.JPG","RMS Survey MB-EMCG-8-Sign_Photo")</f>
        <v>RMS Survey MB-EMCG-8-Sign_Photo</v>
      </c>
      <c r="J146" s="11" t="str">
        <f>HYPERLINK("RMS Survey MB-EMCG-8-Location_Photo.JPG","RMS Survey MB-EMCG-8-Location_Photo")</f>
        <v>RMS Survey MB-EMCG-8-Location_Photo</v>
      </c>
      <c r="K146" s="11" t="s">
        <v>38</v>
      </c>
      <c r="M146" s="11" t="s">
        <v>33</v>
      </c>
    </row>
    <row r="147" spans="1:13" x14ac:dyDescent="0.25">
      <c r="A147" s="11" t="s">
        <v>320</v>
      </c>
      <c r="C147" s="12" t="s">
        <v>526</v>
      </c>
      <c r="E147" s="4">
        <v>42278.633333333331</v>
      </c>
      <c r="F147" s="12" t="s">
        <v>380</v>
      </c>
      <c r="G147" s="11" t="s">
        <v>21</v>
      </c>
      <c r="I147" s="11" t="str">
        <f>HYPERLINK("RMS Survey MB-EMCG-9-Sign_Photo.JPG","RMS Survey MB-EMCG-9-Sign_Photo")</f>
        <v>RMS Survey MB-EMCG-9-Sign_Photo</v>
      </c>
      <c r="J147" s="11" t="str">
        <f>HYPERLINK("RMS Survey MB-EMCG-9-Location_Photo.JPG","RMS Survey MB-EMCG-9-Location_Photo")</f>
        <v>RMS Survey MB-EMCG-9-Location_Photo</v>
      </c>
      <c r="M147" s="11" t="s">
        <v>33</v>
      </c>
    </row>
    <row r="148" spans="1:13" x14ac:dyDescent="0.25">
      <c r="A148" s="11" t="s">
        <v>321</v>
      </c>
      <c r="C148" s="12" t="s">
        <v>527</v>
      </c>
      <c r="E148" s="4">
        <v>42277.581944444442</v>
      </c>
      <c r="F148" s="12" t="s">
        <v>380</v>
      </c>
      <c r="G148" s="11" t="s">
        <v>21</v>
      </c>
      <c r="I148" s="11" t="str">
        <f>HYPERLINK("RMS Survey MB-EMCG-3-Sign_Photo.JPG","RMS Survey MB-EMCG-3-Sign_Photo")</f>
        <v>RMS Survey MB-EMCG-3-Sign_Photo</v>
      </c>
      <c r="J148" s="11" t="str">
        <f>HYPERLINK("RMS Survey MB-EMCG-3-Location_Photo.JPG","RMS Survey MB-EMCG-3-Location_Photo")</f>
        <v>RMS Survey MB-EMCG-3-Location_Photo</v>
      </c>
      <c r="M148" s="11" t="s">
        <v>33</v>
      </c>
    </row>
    <row r="149" spans="1:13" x14ac:dyDescent="0.25">
      <c r="A149" s="11" t="s">
        <v>323</v>
      </c>
      <c r="C149" s="12" t="s">
        <v>528</v>
      </c>
      <c r="E149" s="4">
        <v>42277.655555555553</v>
      </c>
      <c r="F149" s="12" t="s">
        <v>380</v>
      </c>
      <c r="G149" s="11" t="s">
        <v>21</v>
      </c>
      <c r="I149" s="11" t="str">
        <f>HYPERLINK("RMS Survey MB-EMCG-4-Sign_Photo.JPG","RMS Survey MB-EMCG-4-Sign_Photo")</f>
        <v>RMS Survey MB-EMCG-4-Sign_Photo</v>
      </c>
      <c r="J149" s="11" t="str">
        <f>HYPERLINK("RMS Survey MB-EMCG-4-Location_Photo.JPG","RMS Survey MB-EMCG-4-Location_Photo")</f>
        <v>RMS Survey MB-EMCG-4-Location_Photo</v>
      </c>
      <c r="M149" s="11" t="s">
        <v>33</v>
      </c>
    </row>
    <row r="150" spans="1:13" x14ac:dyDescent="0.25">
      <c r="A150" s="11" t="s">
        <v>325</v>
      </c>
      <c r="C150" s="12" t="s">
        <v>529</v>
      </c>
      <c r="D150" s="12">
        <v>0</v>
      </c>
      <c r="E150" s="4">
        <v>42277.450694444444</v>
      </c>
      <c r="F150" s="12" t="s">
        <v>380</v>
      </c>
      <c r="G150" s="11" t="s">
        <v>21</v>
      </c>
      <c r="I150" s="11" t="str">
        <f>HYPERLINK("RMS Survey MB-EMCG-2-Sign_Photo.JPG","RMS Survey MB-EMCG-2-Sign_Photo")</f>
        <v>RMS Survey MB-EMCG-2-Sign_Photo</v>
      </c>
      <c r="J150" s="11" t="str">
        <f>HYPERLINK("RMS Survey MB-EMCG-2-Location_Photo.JPG","RMS Survey MB-EMCG-2-Location_Photo")</f>
        <v>RMS Survey MB-EMCG-2-Location_Photo</v>
      </c>
      <c r="K150" s="11" t="s">
        <v>51</v>
      </c>
      <c r="M150" s="11" t="s">
        <v>33</v>
      </c>
    </row>
    <row r="151" spans="1:13" x14ac:dyDescent="0.25">
      <c r="A151" s="11" t="s">
        <v>327</v>
      </c>
      <c r="C151" s="12" t="s">
        <v>530</v>
      </c>
      <c r="D151" s="12">
        <v>0</v>
      </c>
      <c r="E151" s="4">
        <v>42277.435416666667</v>
      </c>
      <c r="F151" s="12" t="s">
        <v>380</v>
      </c>
      <c r="G151" s="11" t="s">
        <v>21</v>
      </c>
      <c r="I151" s="11" t="str">
        <f>HYPERLINK("RMS Survey MB-EMCG-1-Sign_Photo.JPG","RMS Survey MB-EMCG-1-Sign_Photo")</f>
        <v>RMS Survey MB-EMCG-1-Sign_Photo</v>
      </c>
      <c r="J151" s="11" t="str">
        <f>HYPERLINK("RMS Survey MB-EMCG-1-Location_Photo.JPG","RMS Survey MB-EMCG-1-Location_Photo")</f>
        <v>RMS Survey MB-EMCG-1-Location_Photo</v>
      </c>
      <c r="K151" s="11" t="s">
        <v>51</v>
      </c>
      <c r="M151" s="11" t="s">
        <v>33</v>
      </c>
    </row>
    <row r="152" spans="1:13" x14ac:dyDescent="0.25">
      <c r="A152" s="11" t="s">
        <v>328</v>
      </c>
      <c r="C152" s="12" t="s">
        <v>531</v>
      </c>
      <c r="E152" s="4">
        <v>42277.699305555558</v>
      </c>
      <c r="F152" s="12" t="s">
        <v>380</v>
      </c>
      <c r="G152" s="11" t="s">
        <v>21</v>
      </c>
      <c r="I152" s="11" t="str">
        <f>HYPERLINK("RMS Survey MB-EMCG-5-Sign_Photo.JPG","RMS Survey MB-EMCG-5-Sign_Photo")</f>
        <v>RMS Survey MB-EMCG-5-Sign_Photo</v>
      </c>
      <c r="J152" s="11" t="str">
        <f>HYPERLINK("RMS Survey MB-EMCG-5-Location_Photo.JPG","RMS Survey MB-EMCG-5-Location_Photo")</f>
        <v>RMS Survey MB-EMCG-5-Location_Photo</v>
      </c>
      <c r="M152" s="11" t="s">
        <v>33</v>
      </c>
    </row>
    <row r="153" spans="1:13" x14ac:dyDescent="0.25">
      <c r="A153" s="11" t="s">
        <v>329</v>
      </c>
      <c r="C153" s="12" t="s">
        <v>532</v>
      </c>
      <c r="E153" s="4">
        <v>42278.438194444447</v>
      </c>
      <c r="F153" s="12" t="s">
        <v>380</v>
      </c>
      <c r="G153" s="11" t="s">
        <v>21</v>
      </c>
      <c r="I153" s="11" t="str">
        <f>HYPERLINK("RMS Survey MB-EMCG-7-Sign_Photo.JPG","RMS Survey MB-EMCG-7-Sign_Photo")</f>
        <v>RMS Survey MB-EMCG-7-Sign_Photo</v>
      </c>
      <c r="J153" s="11" t="str">
        <f>HYPERLINK("RMS Survey MB-EMCG-7-Location_Photo.JPG","RMS Survey MB-EMCG-7-Location_Photo")</f>
        <v>RMS Survey MB-EMCG-7-Location_Photo</v>
      </c>
      <c r="M153" s="11" t="s">
        <v>33</v>
      </c>
    </row>
    <row r="154" spans="1:13" x14ac:dyDescent="0.25">
      <c r="A154" s="11" t="s">
        <v>330</v>
      </c>
      <c r="C154" s="12" t="s">
        <v>533</v>
      </c>
      <c r="E154" s="4">
        <v>42278.43472222222</v>
      </c>
      <c r="F154" s="12" t="s">
        <v>380</v>
      </c>
      <c r="G154" s="11" t="s">
        <v>21</v>
      </c>
      <c r="I154" s="11" t="str">
        <f>HYPERLINK("RMS Survey MB-EMCG-6-Sign_Photo.JPG","RMS Survey MB-EMCG-6-Sign_Photo")</f>
        <v>RMS Survey MB-EMCG-6-Sign_Photo</v>
      </c>
      <c r="J154" s="11" t="str">
        <f>HYPERLINK("RMS Survey MB-EMCG-6-Location_Photo.JPG","RMS Survey MB-EMCG-6-Location_Photo")</f>
        <v>RMS Survey MB-EMCG-6-Location_Photo</v>
      </c>
      <c r="M154" s="11" t="s">
        <v>33</v>
      </c>
    </row>
  </sheetData>
  <autoFilter ref="A1:T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Inspector</vt:lpstr>
      <vt:lpstr>Sign Location</vt:lpstr>
      <vt:lpstr>Sign Details</vt:lpstr>
      <vt:lpstr>Defects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Gildea</dc:creator>
  <cp:lastModifiedBy>Paul Brodin</cp:lastModifiedBy>
  <dcterms:created xsi:type="dcterms:W3CDTF">2016-02-29T22:13:48Z</dcterms:created>
  <dcterms:modified xsi:type="dcterms:W3CDTF">2016-09-12T16:25:18Z</dcterms:modified>
</cp:coreProperties>
</file>